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Demostrativo Rec" sheetId="1" r:id="rId1"/>
    <sheet name="Exec Orç 09 a 16" sheetId="3" r:id="rId2"/>
    <sheet name="Comp 12 x 13 x 14 x 15 x 16" sheetId="7" r:id="rId3"/>
    <sheet name="Receitas" sheetId="5" r:id="rId4"/>
    <sheet name="Desp Correntes" sheetId="4" r:id="rId5"/>
    <sheet name="Repasses Sus" sheetId="2" r:id="rId6"/>
  </sheets>
  <externalReferences>
    <externalReference r:id="rId7"/>
    <externalReference r:id="rId8"/>
    <externalReference r:id="rId9"/>
  </externalReferences>
  <definedNames>
    <definedName name="_Toc434928052" localSheetId="1">'Exec Orç 09 a 16'!#REF!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/>
  <c r="K17" s="1"/>
  <c r="I10"/>
  <c r="I11"/>
  <c r="I12"/>
  <c r="I13"/>
  <c r="I14"/>
  <c r="G14"/>
  <c r="J14"/>
  <c r="J13"/>
  <c r="J12"/>
  <c r="J11"/>
  <c r="J10"/>
  <c r="J9"/>
  <c r="J8"/>
  <c r="K13"/>
  <c r="M13"/>
  <c r="K12"/>
  <c r="L12"/>
  <c r="K11"/>
  <c r="M11"/>
  <c r="K10"/>
  <c r="L10"/>
  <c r="K9"/>
  <c r="M9"/>
  <c r="K8"/>
  <c r="F27" i="3"/>
  <c r="G27"/>
  <c r="H27"/>
  <c r="K14" i="2"/>
  <c r="L11"/>
  <c r="L9"/>
  <c r="L13"/>
  <c r="M10"/>
  <c r="B14"/>
  <c r="M14"/>
  <c r="L14"/>
  <c r="M8"/>
  <c r="M12"/>
  <c r="L8"/>
  <c r="P37" i="7"/>
  <c r="J37"/>
  <c r="F36"/>
  <c r="F34"/>
  <c r="F37"/>
  <c r="E36"/>
  <c r="E34"/>
  <c r="E37"/>
  <c r="Q36"/>
  <c r="R36"/>
  <c r="Q37"/>
  <c r="N36"/>
  <c r="N34"/>
  <c r="O36"/>
  <c r="M18"/>
  <c r="M36"/>
  <c r="M34"/>
  <c r="M37"/>
  <c r="L36"/>
  <c r="H36"/>
  <c r="C36"/>
  <c r="C34"/>
  <c r="C37"/>
  <c r="B36"/>
  <c r="B34"/>
  <c r="B37"/>
  <c r="Q35"/>
  <c r="R35"/>
  <c r="N35"/>
  <c r="O35"/>
  <c r="L35"/>
  <c r="E35"/>
  <c r="S34"/>
  <c r="R34"/>
  <c r="O34"/>
  <c r="L34"/>
  <c r="H34"/>
  <c r="F35"/>
  <c r="C35"/>
  <c r="D35"/>
  <c r="B35"/>
  <c r="S33"/>
  <c r="R33"/>
  <c r="O33"/>
  <c r="L33"/>
  <c r="K33"/>
  <c r="H33"/>
  <c r="G33"/>
  <c r="O32"/>
  <c r="L32"/>
  <c r="H32"/>
  <c r="S31"/>
  <c r="R31"/>
  <c r="O31"/>
  <c r="L31"/>
  <c r="I31"/>
  <c r="K31"/>
  <c r="H31"/>
  <c r="S30"/>
  <c r="O30"/>
  <c r="L30"/>
  <c r="I30"/>
  <c r="K30"/>
  <c r="H30"/>
  <c r="G30"/>
  <c r="S29"/>
  <c r="R29"/>
  <c r="O29"/>
  <c r="L29"/>
  <c r="I29"/>
  <c r="K29"/>
  <c r="H29"/>
  <c r="G29"/>
  <c r="S28"/>
  <c r="R28"/>
  <c r="O28"/>
  <c r="L28"/>
  <c r="I28"/>
  <c r="K28"/>
  <c r="H28"/>
  <c r="G28"/>
  <c r="S27"/>
  <c r="R27"/>
  <c r="O27"/>
  <c r="L27"/>
  <c r="I27"/>
  <c r="K27"/>
  <c r="H27"/>
  <c r="G27"/>
  <c r="D27"/>
  <c r="S26"/>
  <c r="R26"/>
  <c r="O26"/>
  <c r="L26"/>
  <c r="I26"/>
  <c r="K26"/>
  <c r="H26"/>
  <c r="G26"/>
  <c r="S25"/>
  <c r="O25"/>
  <c r="L25"/>
  <c r="I25"/>
  <c r="K25"/>
  <c r="H25"/>
  <c r="G25"/>
  <c r="S24"/>
  <c r="R24"/>
  <c r="O24"/>
  <c r="L24"/>
  <c r="I24"/>
  <c r="K24"/>
  <c r="H24"/>
  <c r="G24"/>
  <c r="S23"/>
  <c r="R23"/>
  <c r="O23"/>
  <c r="L23"/>
  <c r="I23"/>
  <c r="K23"/>
  <c r="H23"/>
  <c r="G23"/>
  <c r="S22"/>
  <c r="R22"/>
  <c r="O22"/>
  <c r="L22"/>
  <c r="I22"/>
  <c r="K22"/>
  <c r="H22"/>
  <c r="G22"/>
  <c r="D22"/>
  <c r="S21"/>
  <c r="R21"/>
  <c r="O21"/>
  <c r="L21"/>
  <c r="I21"/>
  <c r="K21"/>
  <c r="H21"/>
  <c r="G21"/>
  <c r="S20"/>
  <c r="R20"/>
  <c r="O20"/>
  <c r="L20"/>
  <c r="I20"/>
  <c r="K20"/>
  <c r="H20"/>
  <c r="G20"/>
  <c r="O19"/>
  <c r="L19"/>
  <c r="H19"/>
  <c r="S18"/>
  <c r="R18"/>
  <c r="O18"/>
  <c r="L18"/>
  <c r="I18"/>
  <c r="K18"/>
  <c r="H18"/>
  <c r="S17"/>
  <c r="R17"/>
  <c r="O17"/>
  <c r="L17"/>
  <c r="I17"/>
  <c r="K17"/>
  <c r="H17"/>
  <c r="G17"/>
  <c r="D17"/>
  <c r="S16"/>
  <c r="R16"/>
  <c r="O16"/>
  <c r="L16"/>
  <c r="I16"/>
  <c r="K16"/>
  <c r="H16"/>
  <c r="G16"/>
  <c r="S15"/>
  <c r="R15"/>
  <c r="O15"/>
  <c r="L15"/>
  <c r="I15"/>
  <c r="K15"/>
  <c r="H15"/>
  <c r="G15"/>
  <c r="S14"/>
  <c r="R14"/>
  <c r="O14"/>
  <c r="L14"/>
  <c r="I14"/>
  <c r="K14"/>
  <c r="H14"/>
  <c r="G14"/>
  <c r="O13"/>
  <c r="L13"/>
  <c r="H13"/>
  <c r="O12"/>
  <c r="L12"/>
  <c r="I12"/>
  <c r="K12"/>
  <c r="H12"/>
  <c r="S11"/>
  <c r="R11"/>
  <c r="O11"/>
  <c r="L11"/>
  <c r="I11"/>
  <c r="H11"/>
  <c r="G11"/>
  <c r="S10"/>
  <c r="R10"/>
  <c r="O10"/>
  <c r="L10"/>
  <c r="I10"/>
  <c r="H10"/>
  <c r="G10"/>
  <c r="S9"/>
  <c r="R9"/>
  <c r="O9"/>
  <c r="L9"/>
  <c r="K9"/>
  <c r="H9"/>
  <c r="G9"/>
  <c r="R8"/>
  <c r="O8"/>
  <c r="L8"/>
  <c r="I8"/>
  <c r="I34"/>
  <c r="S7"/>
  <c r="R7"/>
  <c r="O7"/>
  <c r="L7"/>
  <c r="K7"/>
  <c r="H7"/>
  <c r="G7"/>
  <c r="G35"/>
  <c r="H35"/>
  <c r="K34"/>
  <c r="I36"/>
  <c r="I35"/>
  <c r="K35"/>
  <c r="G34"/>
  <c r="M35"/>
  <c r="D36"/>
  <c r="D13"/>
  <c r="D14"/>
  <c r="D18"/>
  <c r="D23"/>
  <c r="D28"/>
  <c r="D34"/>
  <c r="S35"/>
  <c r="S36"/>
  <c r="N37"/>
  <c r="K8"/>
  <c r="D9"/>
  <c r="D10"/>
  <c r="D11"/>
  <c r="K11"/>
  <c r="D15"/>
  <c r="D19"/>
  <c r="D20"/>
  <c r="D24"/>
  <c r="D29"/>
  <c r="D7"/>
  <c r="D12"/>
  <c r="D16"/>
  <c r="D21"/>
  <c r="D25"/>
  <c r="D26"/>
  <c r="D30"/>
  <c r="D31"/>
  <c r="D32"/>
  <c r="D33"/>
  <c r="G36"/>
  <c r="I37"/>
  <c r="K36"/>
  <c r="I46" i="1"/>
  <c r="H46"/>
  <c r="J46"/>
  <c r="J45"/>
  <c r="J44"/>
  <c r="J42"/>
  <c r="J40"/>
  <c r="J39"/>
  <c r="J38"/>
  <c r="I25"/>
  <c r="I29"/>
  <c r="I34"/>
  <c r="H29"/>
  <c r="H34"/>
  <c r="J34"/>
  <c r="J32"/>
  <c r="J30"/>
  <c r="J29"/>
  <c r="J28"/>
  <c r="J26"/>
  <c r="J25"/>
  <c r="J20"/>
  <c r="J19"/>
  <c r="J17"/>
  <c r="J16"/>
  <c r="I15"/>
  <c r="J15"/>
  <c r="I7"/>
  <c r="I6"/>
  <c r="I14"/>
  <c r="H12"/>
  <c r="H13"/>
  <c r="H11"/>
  <c r="H7"/>
  <c r="H6"/>
  <c r="H14"/>
  <c r="J14"/>
  <c r="I13"/>
  <c r="J13"/>
  <c r="J12"/>
  <c r="J11"/>
  <c r="J10"/>
  <c r="J9"/>
  <c r="J8"/>
  <c r="J7"/>
  <c r="J6"/>
  <c r="I36"/>
  <c r="B46"/>
  <c r="K46"/>
  <c r="K45"/>
  <c r="K44"/>
  <c r="K42"/>
  <c r="K40"/>
  <c r="K39"/>
  <c r="K38"/>
  <c r="B32"/>
  <c r="B34"/>
  <c r="K34"/>
  <c r="K32"/>
  <c r="K30"/>
  <c r="K29"/>
  <c r="K28"/>
  <c r="K26"/>
  <c r="K25"/>
  <c r="K22"/>
  <c r="K21"/>
  <c r="K19"/>
  <c r="K17"/>
  <c r="K16"/>
  <c r="K15"/>
  <c r="K13"/>
  <c r="K12"/>
  <c r="B11"/>
  <c r="K11"/>
  <c r="K10"/>
  <c r="K9"/>
  <c r="K8"/>
  <c r="K7"/>
  <c r="B6"/>
  <c r="B14"/>
  <c r="K14"/>
  <c r="K6"/>
  <c r="I11" i="5"/>
  <c r="I7" i="4"/>
  <c r="G14" i="3"/>
  <c r="H13"/>
  <c r="I13"/>
  <c r="E14"/>
  <c r="D13"/>
  <c r="C14"/>
  <c r="B14"/>
  <c r="E14" i="2"/>
  <c r="C14"/>
  <c r="H26" i="3"/>
  <c r="H25"/>
  <c r="H24"/>
  <c r="H23"/>
  <c r="H22"/>
  <c r="H21"/>
  <c r="H20"/>
  <c r="G9" i="4"/>
  <c r="F9"/>
  <c r="B9"/>
  <c r="H7"/>
  <c r="G7"/>
  <c r="F7"/>
  <c r="I16" i="2"/>
  <c r="G16"/>
  <c r="L16" s="1"/>
  <c r="E16"/>
  <c r="F16" s="1"/>
  <c r="B16"/>
  <c r="C16"/>
  <c r="D16" s="1"/>
  <c r="D6" i="3"/>
  <c r="H6"/>
  <c r="I6"/>
  <c r="H7"/>
  <c r="I7"/>
  <c r="C8"/>
  <c r="I8"/>
  <c r="H8"/>
  <c r="H9"/>
  <c r="I9"/>
  <c r="H10"/>
  <c r="I10"/>
  <c r="H11"/>
  <c r="I11"/>
  <c r="D12"/>
  <c r="H12"/>
  <c r="I12"/>
  <c r="F14"/>
  <c r="F20"/>
  <c r="F21"/>
  <c r="F22"/>
  <c r="F23"/>
  <c r="F24"/>
  <c r="F25"/>
  <c r="F26"/>
  <c r="J16" i="2"/>
  <c r="H16"/>
  <c r="D8"/>
  <c r="F8"/>
  <c r="H8"/>
  <c r="D9"/>
  <c r="F9"/>
  <c r="H9"/>
  <c r="D10"/>
  <c r="F10"/>
  <c r="H10"/>
  <c r="D11"/>
  <c r="F11"/>
  <c r="H11"/>
  <c r="D12"/>
  <c r="F12"/>
  <c r="H12"/>
  <c r="D13"/>
  <c r="F13"/>
  <c r="H13"/>
  <c r="B17"/>
  <c r="F14"/>
  <c r="E17"/>
  <c r="H14"/>
  <c r="D14"/>
  <c r="C17"/>
  <c r="I17"/>
  <c r="H35" i="1"/>
  <c r="J35" s="1"/>
  <c r="G35"/>
  <c r="F35"/>
  <c r="E35"/>
  <c r="D35"/>
  <c r="C35"/>
  <c r="C36" s="1"/>
  <c r="B35"/>
  <c r="K35"/>
  <c r="E11"/>
  <c r="D11"/>
  <c r="C11"/>
  <c r="E6"/>
  <c r="D6"/>
  <c r="C6"/>
  <c r="E14"/>
  <c r="D14"/>
  <c r="C14"/>
  <c r="G29"/>
  <c r="F29"/>
  <c r="G21"/>
  <c r="G22"/>
  <c r="G16"/>
  <c r="D36"/>
  <c r="G45"/>
  <c r="G32"/>
  <c r="G25"/>
  <c r="G13"/>
  <c r="G7"/>
  <c r="F45"/>
  <c r="F46"/>
  <c r="F32"/>
  <c r="F34"/>
  <c r="F13"/>
  <c r="F11"/>
  <c r="F21"/>
  <c r="F7"/>
  <c r="F6"/>
  <c r="G46"/>
  <c r="D46"/>
  <c r="E45"/>
  <c r="E46"/>
  <c r="C46"/>
  <c r="E34"/>
  <c r="E36"/>
  <c r="D34"/>
  <c r="C34"/>
  <c r="G6"/>
  <c r="G34"/>
  <c r="G11"/>
  <c r="B36"/>
  <c r="K36"/>
  <c r="F14"/>
  <c r="F36"/>
  <c r="G14"/>
  <c r="G36"/>
  <c r="H36" l="1"/>
  <c r="J36" s="1"/>
  <c r="G17" i="2"/>
</calcChain>
</file>

<file path=xl/sharedStrings.xml><?xml version="1.0" encoding="utf-8"?>
<sst xmlns="http://schemas.openxmlformats.org/spreadsheetml/2006/main" count="172" uniqueCount="129">
  <si>
    <t>Conselho Municipal de Saúde de Palmas - TO</t>
  </si>
  <si>
    <t>Demonstrativo das Receitas e Despesas em Saúde</t>
  </si>
  <si>
    <t>Período de 2009 a 2016</t>
  </si>
  <si>
    <t>% 16 x 15</t>
  </si>
  <si>
    <t>% 16 x 09</t>
  </si>
  <si>
    <t xml:space="preserve">RECEITAS DE IMPOSTOS LÍQ E TRANSF CONST. E LEGAIS </t>
  </si>
  <si>
    <t>Impostos</t>
  </si>
  <si>
    <t>Multas, Juros de Mora e Outros Encargos dos Impostos</t>
  </si>
  <si>
    <t>Dívida Ativa dos Impostos</t>
  </si>
  <si>
    <t>Multas, Juros de Mora, Atual. Monet e Outros Enc da Dív Ativa</t>
  </si>
  <si>
    <t>Receita de Transferências Constitucionais e Legais</t>
  </si>
  <si>
    <t xml:space="preserve">Da União </t>
  </si>
  <si>
    <t>Do Estado</t>
  </si>
  <si>
    <t>Total da Receita Corente</t>
  </si>
  <si>
    <t>TRANSFERÊNCIA DE RECURSOS DO SUS (II)</t>
  </si>
  <si>
    <t>Da União para o Município</t>
  </si>
  <si>
    <t>Do Estado para o Município</t>
  </si>
  <si>
    <t xml:space="preserve">Demais Municípios para o Município - - </t>
  </si>
  <si>
    <t xml:space="preserve">Outras Receitas do SUS </t>
  </si>
  <si>
    <t>RECEITAS DE OPERAÇÕES DE CRÉD VINC. À SAÚDE (III)</t>
  </si>
  <si>
    <t xml:space="preserve">OUTRAS RECEITAS ORÇAMENTÁRIAS </t>
  </si>
  <si>
    <t xml:space="preserve">(-) DEDUÇÃO PARA O FUNDEB </t>
  </si>
  <si>
    <t xml:space="preserve">Total das Despesas Correntes 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</si>
  <si>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</si>
  <si>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</si>
  <si>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</si>
  <si>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</si>
  <si>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</si>
  <si>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</si>
  <si>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 xml:space="preserve">Restos a Pagar </t>
  </si>
  <si>
    <t>Amortização da Dívida</t>
  </si>
  <si>
    <t>Total</t>
  </si>
  <si>
    <t>Ações em Serviços Públicos em Saúde - ASPS 15%</t>
  </si>
  <si>
    <t>Atenção Básica</t>
  </si>
  <si>
    <t>Assistência Hospitalar e Ambulatoria</t>
  </si>
  <si>
    <t>Suporte Profilático e Terapeutico</t>
  </si>
  <si>
    <t>Vigilância Sanitária</t>
  </si>
  <si>
    <t>Vigilância Epidemiolôgiaca</t>
  </si>
  <si>
    <t>Alimentação e Nutrição</t>
  </si>
  <si>
    <t>Outros Subfunções</t>
  </si>
  <si>
    <t>Total Despesas com Saúde</t>
  </si>
  <si>
    <t>Fonte:</t>
  </si>
  <si>
    <t>RELATÓRIO RESUMIDO DA EXECUÇÃO ORÇAMENTÁRIA</t>
  </si>
  <si>
    <t>DEMONSTRATIVO DAS RECEITAS E DESPESAS COM AÇÕES E SERVIÇOS PÚBLICOS DE SAÚDE</t>
  </si>
  <si>
    <t>ORÇAMENTOS FISCAL E DA SEGURIDADE SOCIAL</t>
  </si>
  <si>
    <t>http://www.palmas.to.gov.br/transparencia/76/</t>
  </si>
  <si>
    <t>Conselho Municipal de Saúde de Palmas</t>
  </si>
  <si>
    <t>Relatório da Execução Orçamentária da Saúde 2009 a 2016</t>
  </si>
  <si>
    <t xml:space="preserve">Exercícios </t>
  </si>
  <si>
    <t>1- Receita Corrente Liquida</t>
  </si>
  <si>
    <t>2 - Total Aplicado - Ações Serv Saúde ASPS - 15%</t>
  </si>
  <si>
    <t>% Aplicado x  RCL</t>
  </si>
  <si>
    <t>3 - Despesas Executadas - Recursos SUS</t>
  </si>
  <si>
    <t>4 - Total Despesas c/ Saúde</t>
  </si>
  <si>
    <t>5 - Total Despesas com Pessoal</t>
  </si>
  <si>
    <t>% 5 / 4</t>
  </si>
  <si>
    <t>% 5 / 2</t>
  </si>
  <si>
    <t>% Cresc. 16 x 09</t>
  </si>
  <si>
    <t>Total da Receita Orçamentária Executada</t>
  </si>
  <si>
    <t>Total dos Repasses -  SUS</t>
  </si>
  <si>
    <t>% Utilização Recursos SUS</t>
  </si>
  <si>
    <t>Prevista</t>
  </si>
  <si>
    <t>Realizada</t>
  </si>
  <si>
    <t>%</t>
  </si>
  <si>
    <t xml:space="preserve">Gestão: 3.200 - FUNDO MUNICIPAL DE SAUDE </t>
  </si>
  <si>
    <t>Comparativo Execução Orçamentária - 2012 a 2016</t>
  </si>
  <si>
    <t>Exercício</t>
  </si>
  <si>
    <t>Descrição</t>
  </si>
  <si>
    <t>Autorizado</t>
  </si>
  <si>
    <t>Pg  Período</t>
  </si>
  <si>
    <t>% Rel Total</t>
  </si>
  <si>
    <t>% Cresc 13 x 12 Pag</t>
  </si>
  <si>
    <t>% Cresc 14 x 13 Pag</t>
  </si>
  <si>
    <t>% Relação Total</t>
  </si>
  <si>
    <t>% Cresc 16 x 15 Pag</t>
  </si>
  <si>
    <t>AUXÍLIO FINANCEIRO A ESTUDANTES Total</t>
  </si>
  <si>
    <t>AUXILIO FINANCEIRO A PESQUISADORES Total</t>
  </si>
  <si>
    <t>AUXILIO-ALIMENTAÇÃO Total</t>
  </si>
  <si>
    <t>AUXÍLIO-TRANSPORTE Total</t>
  </si>
  <si>
    <t>CONTRATAÇÃO POR TEMPO DETERMINADO Total</t>
  </si>
  <si>
    <t>CONTRIBUIÇÕES Total</t>
  </si>
  <si>
    <t>DEPÓSITOS COMPULSÓRIOS Total</t>
  </si>
  <si>
    <t>DESPESAS DE EXERCÍCIOS ANTERIORES Total</t>
  </si>
  <si>
    <t>DIÁRIAS Total</t>
  </si>
  <si>
    <t>EQUIPAMENTO E MATERIAL PERMANENTE Total</t>
  </si>
  <si>
    <t>INDENIZAÇÕES E RESTITUIÇÕES Total</t>
  </si>
  <si>
    <t>INDENIZAÇÕES E RESTITUIÇÕES TRABALHISTAS Total</t>
  </si>
  <si>
    <t>LOCOMOÇÃO DE MÃO-DE-OBRA Total</t>
  </si>
  <si>
    <t>MATERIAL DE CONSUMO Total</t>
  </si>
  <si>
    <t>MATERIAL DE DISTRIBUIÇÃO GRATUITA Total</t>
  </si>
  <si>
    <t>OBRAS E INSTALAÇÕES Total</t>
  </si>
  <si>
    <t>OBRIGAÇÕES PATRONAIS Total</t>
  </si>
  <si>
    <t>OBRIGAÇÕES TRIBUTÁRIAS E CONTRIBUTIVA Total</t>
  </si>
  <si>
    <t>OUTRAS DESPESAS VARIÁVEIS - PESSOAL CIVIL Total</t>
  </si>
  <si>
    <t>OUTRAS SERVIÇOS DE TERCEIROS - PESSOAS JURÍDICA Total</t>
  </si>
  <si>
    <t>OUTROS AUXÍLIOS FINANCEIROS  A PESSOAS FÍSICAS Total</t>
  </si>
  <si>
    <t>OUTROS SERVIÇOS DE TERCEIROS - PESSOA FÍSICA Total</t>
  </si>
  <si>
    <t>PASSAGENS E DESPESAS COM LOCOMOÇÃO Total</t>
  </si>
  <si>
    <t>PREMIAÇÕES CULTURAIS, ARTÍST, CIENT DESPORT E OUTROS Total</t>
  </si>
  <si>
    <t>SENTENÇAS JUDICIAIS Total</t>
  </si>
  <si>
    <t>SERVIÇOS DE CONSULTORIA Total</t>
  </si>
  <si>
    <t>VENCIMENTOS E VANTAGENS FIXAS - PESSOAL CIVIL Total</t>
  </si>
  <si>
    <t>TOTAL GERAL:</t>
  </si>
  <si>
    <t>Total Despesas Custeio</t>
  </si>
  <si>
    <t>Total geral Despesas com Pessoal</t>
  </si>
  <si>
    <t>% de Gastos com Pessoal</t>
  </si>
  <si>
    <t xml:space="preserve">Demonstrativo das Receitas - Saúde </t>
  </si>
  <si>
    <t xml:space="preserve">Receitas  </t>
  </si>
  <si>
    <t>Ações e Serviços Público em Saúde - ASPS 15%</t>
  </si>
  <si>
    <t>Demonstrativo de Despesas Total da Saúde</t>
  </si>
  <si>
    <t>Período de 2009 A 2016</t>
  </si>
  <si>
    <t>Exercícios</t>
  </si>
  <si>
    <t>Total Repasse Fundo a Fundo - FNS</t>
  </si>
  <si>
    <t>Período 2011 a 2016</t>
  </si>
  <si>
    <t>Bloco</t>
  </si>
  <si>
    <t>% Cresc</t>
  </si>
  <si>
    <t>2015 x 2011</t>
  </si>
  <si>
    <t>VIGILÂNCIA EM SAÚDE</t>
  </si>
  <si>
    <t>MÉDIA E ALTA COMPLEXIDADE AMBULATORIAL E HOSPITALAR</t>
  </si>
  <si>
    <t>INVESTIMENTO</t>
  </si>
  <si>
    <t>GESTÃO DO SUS</t>
  </si>
  <si>
    <t>ATENÇÃO BÁSICA</t>
  </si>
  <si>
    <t>ASSISTÊNCIA FARMACÊUTICA</t>
  </si>
  <si>
    <t>Total Geral:</t>
  </si>
  <si>
    <t>http://dab.saude.gov.br/portaldab/financiamento.php</t>
  </si>
  <si>
    <t>Despesas Rec SUS</t>
  </si>
  <si>
    <t>Diferença</t>
  </si>
  <si>
    <t>Fonte: Fundo Nacional de Saúde</t>
  </si>
  <si>
    <t>http://www.fns.saude.gov.br/indexExterno.jsf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</si>
</sst>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u/>
      <sz val="9"/>
      <color rgb="FF000000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0" fillId="2" borderId="0" xfId="0" applyFill="1"/>
    <xf numFmtId="0" fontId="2" fillId="0" borderId="4" xfId="0" applyFont="1" applyBorder="1"/>
    <xf numFmtId="0" fontId="2" fillId="0" borderId="7" xfId="0" applyFont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164" fontId="4" fillId="3" borderId="8" xfId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164" fontId="4" fillId="0" borderId="5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3" borderId="5" xfId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4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0" xfId="0" applyFont="1" applyFill="1"/>
    <xf numFmtId="10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10" fontId="6" fillId="0" borderId="5" xfId="0" applyNumberFormat="1" applyFont="1" applyBorder="1" applyAlignment="1"/>
    <xf numFmtId="10" fontId="6" fillId="4" borderId="5" xfId="0" applyNumberFormat="1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0" fillId="0" borderId="7" xfId="0" applyBorder="1"/>
    <xf numFmtId="0" fontId="0" fillId="5" borderId="1" xfId="0" applyFill="1" applyBorder="1"/>
    <xf numFmtId="0" fontId="2" fillId="2" borderId="0" xfId="0" applyFon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4" borderId="7" xfId="0" applyFont="1" applyFill="1" applyBorder="1"/>
    <xf numFmtId="0" fontId="2" fillId="4" borderId="4" xfId="0" applyFont="1" applyFill="1" applyBorder="1"/>
    <xf numFmtId="164" fontId="5" fillId="0" borderId="0" xfId="1" applyFont="1"/>
    <xf numFmtId="165" fontId="5" fillId="0" borderId="0" xfId="0" applyNumberFormat="1" applyFont="1"/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8" fillId="4" borderId="5" xfId="1" applyNumberFormat="1" applyFont="1" applyFill="1" applyBorder="1" applyAlignment="1">
      <alignment vertical="center"/>
    </xf>
    <xf numFmtId="165" fontId="5" fillId="0" borderId="5" xfId="1" applyNumberFormat="1" applyFont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165" fontId="5" fillId="4" borderId="5" xfId="1" applyNumberFormat="1" applyFont="1" applyFill="1" applyBorder="1" applyAlignment="1">
      <alignment vertical="center"/>
    </xf>
    <xf numFmtId="0" fontId="8" fillId="0" borderId="0" xfId="0" applyFont="1"/>
    <xf numFmtId="165" fontId="8" fillId="0" borderId="5" xfId="1" applyNumberFormat="1" applyFont="1" applyBorder="1" applyAlignment="1">
      <alignment vertical="center"/>
    </xf>
    <xf numFmtId="165" fontId="8" fillId="2" borderId="5" xfId="1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49" fontId="10" fillId="4" borderId="4" xfId="2" applyNumberFormat="1" applyFont="1" applyFill="1" applyBorder="1" applyAlignment="1" applyProtection="1">
      <alignment vertical="center"/>
    </xf>
    <xf numFmtId="165" fontId="5" fillId="2" borderId="5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vertical="center"/>
    </xf>
    <xf numFmtId="49" fontId="8" fillId="4" borderId="4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49" fontId="8" fillId="6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0" fillId="4" borderId="5" xfId="2" applyNumberFormat="1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65" fontId="10" fillId="4" borderId="5" xfId="2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" xfId="0" applyBorder="1"/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/>
    <xf numFmtId="0" fontId="5" fillId="4" borderId="6" xfId="0" applyFont="1" applyFill="1" applyBorder="1" applyAlignment="1">
      <alignment horizontal="center" vertical="center" wrapText="1"/>
    </xf>
    <xf numFmtId="165" fontId="8" fillId="0" borderId="5" xfId="1" applyNumberFormat="1" applyFont="1" applyBorder="1"/>
    <xf numFmtId="165" fontId="5" fillId="4" borderId="5" xfId="1" applyNumberFormat="1" applyFont="1" applyFill="1" applyBorder="1"/>
    <xf numFmtId="165" fontId="5" fillId="0" borderId="5" xfId="1" applyNumberFormat="1" applyFont="1" applyBorder="1"/>
    <xf numFmtId="165" fontId="8" fillId="4" borderId="5" xfId="1" applyNumberFormat="1" applyFont="1" applyFill="1" applyBorder="1"/>
    <xf numFmtId="0" fontId="12" fillId="4" borderId="4" xfId="2" applyNumberFormat="1" applyFont="1" applyFill="1" applyBorder="1" applyAlignment="1" applyProtection="1">
      <alignment vertical="center"/>
    </xf>
    <xf numFmtId="165" fontId="13" fillId="4" borderId="5" xfId="1" applyNumberFormat="1" applyFont="1" applyFill="1" applyBorder="1" applyAlignment="1">
      <alignment vertical="center"/>
    </xf>
    <xf numFmtId="165" fontId="14" fillId="4" borderId="5" xfId="1" applyNumberFormat="1" applyFont="1" applyFill="1" applyBorder="1" applyAlignment="1">
      <alignment vertical="center"/>
    </xf>
    <xf numFmtId="165" fontId="14" fillId="4" borderId="5" xfId="1" applyNumberFormat="1" applyFont="1" applyFill="1" applyBorder="1"/>
    <xf numFmtId="49" fontId="15" fillId="4" borderId="4" xfId="0" applyNumberFormat="1" applyFont="1" applyFill="1" applyBorder="1" applyAlignment="1">
      <alignment vertical="center"/>
    </xf>
    <xf numFmtId="165" fontId="15" fillId="4" borderId="5" xfId="0" applyNumberFormat="1" applyFont="1" applyFill="1" applyBorder="1" applyAlignment="1">
      <alignment vertical="center"/>
    </xf>
    <xf numFmtId="165" fontId="16" fillId="4" borderId="5" xfId="1" applyNumberFormat="1" applyFont="1" applyFill="1" applyBorder="1" applyAlignment="1">
      <alignment vertical="center"/>
    </xf>
    <xf numFmtId="165" fontId="16" fillId="4" borderId="5" xfId="1" applyNumberFormat="1" applyFont="1" applyFill="1" applyBorder="1"/>
    <xf numFmtId="0" fontId="5" fillId="0" borderId="8" xfId="0" applyFont="1" applyBorder="1" applyAlignment="1">
      <alignment vertical="center"/>
    </xf>
    <xf numFmtId="0" fontId="5" fillId="0" borderId="9" xfId="0" applyFont="1" applyBorder="1"/>
    <xf numFmtId="0" fontId="2" fillId="4" borderId="7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4" xfId="0" applyFont="1" applyFill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4" borderId="5" xfId="0" applyNumberFormat="1" applyFont="1" applyFill="1" applyBorder="1"/>
    <xf numFmtId="43" fontId="2" fillId="0" borderId="5" xfId="0" applyNumberFormat="1" applyFont="1" applyBorder="1"/>
    <xf numFmtId="43" fontId="2" fillId="0" borderId="8" xfId="0" applyNumberFormat="1" applyFont="1" applyBorder="1"/>
    <xf numFmtId="43" fontId="2" fillId="2" borderId="0" xfId="0" applyNumberFormat="1" applyFont="1" applyFill="1"/>
    <xf numFmtId="43" fontId="18" fillId="4" borderId="8" xfId="0" applyNumberFormat="1" applyFont="1" applyFill="1" applyBorder="1"/>
    <xf numFmtId="43" fontId="0" fillId="0" borderId="0" xfId="0" applyNumberFormat="1"/>
    <xf numFmtId="43" fontId="6" fillId="0" borderId="5" xfId="0" applyNumberFormat="1" applyFont="1" applyBorder="1" applyAlignment="1"/>
    <xf numFmtId="43" fontId="6" fillId="4" borderId="5" xfId="0" applyNumberFormat="1" applyFont="1" applyFill="1" applyBorder="1" applyAlignment="1"/>
    <xf numFmtId="43" fontId="7" fillId="2" borderId="0" xfId="0" applyNumberFormat="1" applyFont="1" applyFill="1" applyBorder="1" applyAlignment="1"/>
    <xf numFmtId="43" fontId="2" fillId="0" borderId="5" xfId="0" applyNumberFormat="1" applyFont="1" applyBorder="1" applyAlignment="1"/>
    <xf numFmtId="43" fontId="2" fillId="4" borderId="5" xfId="0" applyNumberFormat="1" applyFont="1" applyFill="1" applyBorder="1" applyAlignment="1"/>
    <xf numFmtId="43" fontId="2" fillId="4" borderId="8" xfId="0" applyNumberFormat="1" applyFont="1" applyFill="1" applyBorder="1" applyAlignment="1"/>
    <xf numFmtId="43" fontId="5" fillId="0" borderId="0" xfId="0" applyNumberFormat="1" applyFont="1"/>
    <xf numFmtId="43" fontId="0" fillId="0" borderId="9" xfId="0" applyNumberFormat="1" applyBorder="1"/>
    <xf numFmtId="43" fontId="2" fillId="0" borderId="6" xfId="0" applyNumberFormat="1" applyFont="1" applyBorder="1"/>
    <xf numFmtId="164" fontId="4" fillId="3" borderId="5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43" fontId="0" fillId="5" borderId="2" xfId="0" applyNumberFormat="1" applyFill="1" applyBorder="1"/>
    <xf numFmtId="43" fontId="0" fillId="5" borderId="12" xfId="0" applyNumberFormat="1" applyFill="1" applyBorder="1"/>
    <xf numFmtId="43" fontId="0" fillId="0" borderId="8" xfId="0" applyNumberFormat="1" applyBorder="1"/>
    <xf numFmtId="43" fontId="0" fillId="0" borderId="13" xfId="0" applyNumberForma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Vírgula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BR" baseline="0"/>
              <a:t>Demosntrativo de receitas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Receitas!$A$5</c:f>
              <c:strCache>
                <c:ptCount val="1"/>
                <c:pt idx="0">
                  <c:v>Da União para o Município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Receitas!$C$5:$I$5</c:f>
              <c:numCache>
                <c:formatCode>General</c:formatCode>
                <c:ptCount val="7"/>
                <c:pt idx="0">
                  <c:v>31922827.27</c:v>
                </c:pt>
                <c:pt idx="1">
                  <c:v>39688730.75</c:v>
                </c:pt>
                <c:pt idx="2">
                  <c:v>58199293.520000003</c:v>
                </c:pt>
                <c:pt idx="3" formatCode="_-* #,##0.00_-;\-* #,##0.00_-;_-* &quot;-&quot;??_-;_-@_-">
                  <c:v>61824273.869999997</c:v>
                </c:pt>
                <c:pt idx="4">
                  <c:v>57325502.890000001</c:v>
                </c:pt>
                <c:pt idx="5">
                  <c:v>67154606.349999994</c:v>
                </c:pt>
                <c:pt idx="6">
                  <c:v>75720020.780000001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C-4F99-B538-A3D6574B8144}"/>
            </c:ext>
          </c:extLst>
        </c:ser>
        <c:ser>
          <c:idx val="1"/>
          <c:order val="1"/>
          <c:tx>
            <c:strRef>
              <c:f>Receitas!$A$6</c:f>
              <c:strCache>
                <c:ptCount val="1"/>
                <c:pt idx="0">
                  <c:v>Do Estado para o Município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Receitas!$C$6:$I$6</c:f>
              <c:numCache>
                <c:formatCode>General</c:formatCode>
                <c:ptCount val="7"/>
                <c:pt idx="0">
                  <c:v>448522.72</c:v>
                </c:pt>
                <c:pt idx="1">
                  <c:v>1162119.26</c:v>
                </c:pt>
                <c:pt idx="2">
                  <c:v>4878464.38</c:v>
                </c:pt>
                <c:pt idx="3">
                  <c:v>2145130.79</c:v>
                </c:pt>
                <c:pt idx="4">
                  <c:v>2506936.2799999998</c:v>
                </c:pt>
                <c:pt idx="5">
                  <c:v>2331593.83</c:v>
                </c:pt>
                <c:pt idx="6">
                  <c:v>11473484.699999999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AC-4F99-B538-A3D6574B8144}"/>
            </c:ext>
          </c:extLst>
        </c:ser>
        <c:ser>
          <c:idx val="2"/>
          <c:order val="2"/>
          <c:tx>
            <c:strRef>
              <c:f>Receitas!$A$7</c:f>
              <c:strCache>
                <c:ptCount val="1"/>
                <c:pt idx="0">
                  <c:v>Demais Municípios para o Município - - 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Receitas!$C$7:$I$7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1833190.87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AC-4F99-B538-A3D6574B8144}"/>
            </c:ext>
          </c:extLst>
        </c:ser>
        <c:ser>
          <c:idx val="3"/>
          <c:order val="3"/>
          <c:tx>
            <c:strRef>
              <c:f>Receitas!$A$8</c:f>
              <c:strCache>
                <c:ptCount val="1"/>
                <c:pt idx="0">
                  <c:v>Outras Receitas do SUS 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Receitas!$C$8:$I$8</c:f>
              <c:numCache>
                <c:formatCode>General</c:formatCode>
                <c:ptCount val="7"/>
                <c:pt idx="0">
                  <c:v>243588.04</c:v>
                </c:pt>
                <c:pt idx="1">
                  <c:v>996875.07</c:v>
                </c:pt>
                <c:pt idx="2">
                  <c:v>1092327.1599999999</c:v>
                </c:pt>
                <c:pt idx="3">
                  <c:v>1422130.31</c:v>
                </c:pt>
                <c:pt idx="4">
                  <c:v>2493319.7000000002</c:v>
                </c:pt>
                <c:pt idx="5">
                  <c:v>3333401.62</c:v>
                </c:pt>
                <c:pt idx="6">
                  <c:v>2507406.2000000002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AC-4F99-B538-A3D6574B8144}"/>
            </c:ext>
          </c:extLst>
        </c:ser>
        <c:ser>
          <c:idx val="4"/>
          <c:order val="4"/>
          <c:tx>
            <c:strRef>
              <c:f>Receitas!$A$9</c:f>
              <c:strCache>
                <c:ptCount val="1"/>
                <c:pt idx="0">
                  <c:v>RECEITAS DE OPERAÇÕES DE CRÉD VINC. À SAÚDE (III)</c:v>
                </c:pt>
              </c:strCache>
            </c:strRef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Receitas!$C$9:$I$9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867643.63</c:v>
                </c:pt>
                <c:pt idx="4" formatCode="_-* #,##0.00_-;\-* #,##0.00_-;_-* &quot;-&quot;??_-;_-@_-">
                  <c:v>900000</c:v>
                </c:pt>
                <c:pt idx="5">
                  <c:v>934716.68</c:v>
                </c:pt>
                <c:pt idx="6">
                  <c:v>877806.13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AC-4F99-B538-A3D6574B8144}"/>
            </c:ext>
          </c:extLst>
        </c:ser>
        <c:ser>
          <c:idx val="5"/>
          <c:order val="5"/>
          <c:tx>
            <c:strRef>
              <c:f>Receitas!$A$10</c:f>
              <c:strCache>
                <c:ptCount val="1"/>
                <c:pt idx="0">
                  <c:v>OUTRAS RECEITAS ORÇAMENTÁRIAS </c:v>
                </c:pt>
              </c:strCache>
            </c:strRef>
          </c:tx>
          <c:spPr>
            <a:ln w="19050" cap="rnd" cmpd="sng" algn="ctr">
              <a:solidFill>
                <a:schemeClr val="accent6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Receitas!$C$10:$I$10</c:f>
              <c:numCache>
                <c:formatCode>General</c:formatCode>
                <c:ptCount val="7"/>
                <c:pt idx="0">
                  <c:v>153404.71</c:v>
                </c:pt>
                <c:pt idx="1">
                  <c:v>483454.45</c:v>
                </c:pt>
                <c:pt idx="2">
                  <c:v>267644.24</c:v>
                </c:pt>
                <c:pt idx="3">
                  <c:v>179593.18</c:v>
                </c:pt>
                <c:pt idx="4" formatCode="_-* #,##0.00_-;\-* #,##0.00_-;_-* &quot;-&quot;??_-;_-@_-">
                  <c:v>775908.87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2AC-4F99-B538-A3D6574B8144}"/>
            </c:ext>
          </c:extLst>
        </c:ser>
        <c:ser>
          <c:idx val="6"/>
          <c:order val="6"/>
          <c:tx>
            <c:strRef>
              <c:f>Receitas!$A$11</c:f>
              <c:strCache>
                <c:ptCount val="1"/>
                <c:pt idx="0">
                  <c:v>Ações e Serviços Público em Saúde - ASPS 15%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4393036104729187E-2"/>
                  <c:y val="-3.665520750479297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AC-4F99-B538-A3D6574B8144}"/>
                </c:ext>
              </c:extLst>
            </c:dLbl>
            <c:dLbl>
              <c:idx val="5"/>
              <c:layout>
                <c:manualLayout>
                  <c:x val="-4.2528409161319426E-2"/>
                  <c:y val="-2.749140562859472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AC-4F99-B538-A3D6574B81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Receitas!$C$4:$I$4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Receitas!$C$11:$I$11</c:f>
              <c:numCache>
                <c:formatCode>_-* #,##0.00_-;\-* #,##0.00_-;_-* "-"??_-;_-@_-</c:formatCode>
                <c:ptCount val="7"/>
                <c:pt idx="0">
                  <c:v>50004701.130000003</c:v>
                </c:pt>
                <c:pt idx="1">
                  <c:v>46327236.189999998</c:v>
                </c:pt>
                <c:pt idx="2">
                  <c:v>81341634.260000005</c:v>
                </c:pt>
                <c:pt idx="3">
                  <c:v>73310580.069999993</c:v>
                </c:pt>
                <c:pt idx="4">
                  <c:v>83759027.640000001</c:v>
                </c:pt>
                <c:pt idx="5">
                  <c:v>85346249.530000001</c:v>
                </c:pt>
                <c:pt idx="6">
                  <c:v>90578717.810000002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AC-4F99-B538-A3D6574B8144}"/>
            </c:ext>
          </c:extLst>
        </c:ser>
        <c:dLbls>
          <c:showVal val="1"/>
        </c:dLbls>
        <c:marker val="1"/>
        <c:axId val="83226624"/>
        <c:axId val="83228160"/>
      </c:lineChart>
      <c:catAx>
        <c:axId val="832266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28160"/>
        <c:crosses val="autoZero"/>
        <c:auto val="1"/>
        <c:lblAlgn val="ctr"/>
        <c:lblOffset val="100"/>
      </c:catAx>
      <c:valAx>
        <c:axId val="832281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322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BR"/>
              <a:t>Despesas Correntes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9875156054931354E-3"/>
          <c:y val="0.18784740449110535"/>
          <c:w val="0.97253433208489404"/>
          <c:h val="0.60415828229804613"/>
        </c:manualLayout>
      </c:layout>
      <c:lineChart>
        <c:grouping val="standard"/>
        <c:ser>
          <c:idx val="0"/>
          <c:order val="0"/>
          <c:tx>
            <c:strRef>
              <c:f>'Desp Correntes'!$A$5</c:f>
              <c:strCache>
                <c:ptCount val="1"/>
                <c:pt idx="0">
                  <c:v>Pessoal e Encargos Sociais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2287789868963014E-2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1B-4B12-959E-510CE5159DC8}"/>
                </c:ext>
              </c:extLst>
            </c:dLbl>
            <c:dLbl>
              <c:idx val="1"/>
              <c:layout>
                <c:manualLayout>
                  <c:x val="-5.103935041827639E-2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1B-4B12-959E-510CE5159DC8}"/>
                </c:ext>
              </c:extLst>
            </c:dLbl>
            <c:dLbl>
              <c:idx val="2"/>
              <c:layout>
                <c:manualLayout>
                  <c:x val="-5.2287789868963069E-2"/>
                  <c:y val="-5.09259259259259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1B-4B12-959E-510CE5159DC8}"/>
                </c:ext>
              </c:extLst>
            </c:dLbl>
            <c:dLbl>
              <c:idx val="3"/>
              <c:layout>
                <c:manualLayout>
                  <c:x val="-5.3536229319649666E-2"/>
                  <c:y val="-5.555555555555553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1B-4B12-959E-510CE5159DC8}"/>
                </c:ext>
              </c:extLst>
            </c:dLbl>
            <c:dLbl>
              <c:idx val="4"/>
              <c:layout>
                <c:manualLayout>
                  <c:x val="-5.1039350418276369E-2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1B-4B12-959E-510CE5159DC8}"/>
                </c:ext>
              </c:extLst>
            </c:dLbl>
            <c:dLbl>
              <c:idx val="5"/>
              <c:layout>
                <c:manualLayout>
                  <c:x val="-5.2637352915155367E-2"/>
                  <c:y val="-3.70370370370370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1B-4B12-959E-510CE5159DC8}"/>
                </c:ext>
              </c:extLst>
            </c:dLbl>
            <c:dLbl>
              <c:idx val="6"/>
              <c:layout>
                <c:manualLayout>
                  <c:x val="-4.2422464045926873E-2"/>
                  <c:y val="-3.240740740740743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1B-4B12-959E-510CE5159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Correntes'!$B$5:$I$5</c:f>
              <c:numCache>
                <c:formatCode>General</c:formatCode>
                <c:ptCount val="8"/>
                <c:pt idx="0">
                  <c:v>51880932.25</c:v>
                </c:pt>
                <c:pt idx="1">
                  <c:v>56234551.359999999</c:v>
                </c:pt>
                <c:pt idx="2">
                  <c:v>52581761.079999998</c:v>
                </c:pt>
                <c:pt idx="3">
                  <c:v>86278690.099999994</c:v>
                </c:pt>
                <c:pt idx="4">
                  <c:v>90795965.780000001</c:v>
                </c:pt>
                <c:pt idx="5">
                  <c:v>102180175.81</c:v>
                </c:pt>
                <c:pt idx="6">
                  <c:v>104624490.76000001</c:v>
                </c:pt>
                <c:pt idx="7">
                  <c:v>123949021.55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1B-4B12-959E-510CE5159DC8}"/>
            </c:ext>
          </c:extLst>
        </c:ser>
        <c:ser>
          <c:idx val="1"/>
          <c:order val="1"/>
          <c:tx>
            <c:strRef>
              <c:f>'Desp Correntes'!$A$6</c:f>
              <c:strCache>
                <c:ptCount val="1"/>
                <c:pt idx="0">
                  <c:v>Outras Despesas Correntes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2287789868963014E-2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1B-4B12-959E-510CE5159DC8}"/>
                </c:ext>
              </c:extLst>
            </c:dLbl>
            <c:dLbl>
              <c:idx val="1"/>
              <c:layout>
                <c:manualLayout>
                  <c:x val="-5.2287789868963042E-2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1B-4B12-959E-510CE5159DC8}"/>
                </c:ext>
              </c:extLst>
            </c:dLbl>
            <c:dLbl>
              <c:idx val="2"/>
              <c:layout>
                <c:manualLayout>
                  <c:x val="-5.4784668770336345E-2"/>
                  <c:y val="-4.62962962962963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1B-4B12-959E-510CE5159DC8}"/>
                </c:ext>
              </c:extLst>
            </c:dLbl>
            <c:dLbl>
              <c:idx val="3"/>
              <c:layout>
                <c:manualLayout>
                  <c:x val="-5.2287789868963014E-2"/>
                  <c:y val="-4.16666666666667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1B-4B12-959E-510CE5159DC8}"/>
                </c:ext>
              </c:extLst>
            </c:dLbl>
            <c:dLbl>
              <c:idx val="4"/>
              <c:layout>
                <c:manualLayout>
                  <c:x val="-5.603310822102292E-2"/>
                  <c:y val="-5.555555555555564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1B-4B12-959E-510CE5159DC8}"/>
                </c:ext>
              </c:extLst>
            </c:dLbl>
            <c:dLbl>
              <c:idx val="5"/>
              <c:layout>
                <c:manualLayout>
                  <c:x val="-5.2287789868963104E-2"/>
                  <c:y val="-4.62962962962963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1B-4B12-959E-510CE5159DC8}"/>
                </c:ext>
              </c:extLst>
            </c:dLbl>
            <c:dLbl>
              <c:idx val="6"/>
              <c:layout>
                <c:manualLayout>
                  <c:x val="-4.7765784894865868E-2"/>
                  <c:y val="-2.7777777777777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1B-4B12-959E-510CE5159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Correntes'!$B$6:$I$6</c:f>
              <c:numCache>
                <c:formatCode>General</c:formatCode>
                <c:ptCount val="8"/>
                <c:pt idx="0">
                  <c:v>24564886.73</c:v>
                </c:pt>
                <c:pt idx="1">
                  <c:v>24882913.079999998</c:v>
                </c:pt>
                <c:pt idx="2">
                  <c:v>26902161.879999999</c:v>
                </c:pt>
                <c:pt idx="3">
                  <c:v>35512764.780000001</c:v>
                </c:pt>
                <c:pt idx="4">
                  <c:v>30147322.739999998</c:v>
                </c:pt>
                <c:pt idx="5">
                  <c:v>40734836.030000001</c:v>
                </c:pt>
                <c:pt idx="6">
                  <c:v>45458185.270000003</c:v>
                </c:pt>
                <c:pt idx="7">
                  <c:v>56709304.280000001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91B-4B12-959E-510CE5159DC8}"/>
            </c:ext>
          </c:extLst>
        </c:ser>
        <c:ser>
          <c:idx val="2"/>
          <c:order val="2"/>
          <c:tx>
            <c:strRef>
              <c:f>'Desp Correntes'!$A$7</c:f>
              <c:strCache>
                <c:ptCount val="1"/>
                <c:pt idx="0">
                  <c:v>Despesas de Capital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elete val="1"/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Correntes'!$B$7:$I$7</c:f>
              <c:numCache>
                <c:formatCode>General</c:formatCode>
                <c:ptCount val="8"/>
                <c:pt idx="0">
                  <c:v>1829698.84</c:v>
                </c:pt>
                <c:pt idx="1">
                  <c:v>462159.8</c:v>
                </c:pt>
                <c:pt idx="2">
                  <c:v>3049651.35</c:v>
                </c:pt>
                <c:pt idx="3">
                  <c:v>12169870.67</c:v>
                </c:pt>
                <c:pt idx="4">
                  <c:v>4363228.45</c:v>
                </c:pt>
                <c:pt idx="5">
                  <c:v>5736161.9800000004</c:v>
                </c:pt>
                <c:pt idx="6" formatCode="_-* #,##0.00_-;\-* #,##0.00_-;_-* &quot;-&quot;??_-;_-@_-">
                  <c:v>8621338.5199999996</c:v>
                </c:pt>
                <c:pt idx="7" formatCode="_-* #,##0.00_-;\-* #,##0.00_-;_-* &quot;-&quot;??_-;_-@_-">
                  <c:v>4377166.55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91B-4B12-959E-510CE5159DC8}"/>
            </c:ext>
          </c:extLst>
        </c:ser>
        <c:ser>
          <c:idx val="3"/>
          <c:order val="3"/>
          <c:tx>
            <c:strRef>
              <c:f>'Desp Correntes'!$A$8</c:f>
              <c:strCache>
                <c:ptCount val="1"/>
                <c:pt idx="0">
                  <c:v>Investimentos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5.19382268227708E-2"/>
                  <c:y val="-6.48148148148149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1B-4B12-959E-510CE5159DC8}"/>
                </c:ext>
              </c:extLst>
            </c:dLbl>
            <c:dLbl>
              <c:idx val="3"/>
              <c:layout>
                <c:manualLayout>
                  <c:x val="-5.2287789868963014E-2"/>
                  <c:y val="-4.16666666666667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1B-4B12-959E-510CE5159DC8}"/>
                </c:ext>
              </c:extLst>
            </c:dLbl>
            <c:dLbl>
              <c:idx val="4"/>
              <c:layout>
                <c:manualLayout>
                  <c:x val="-4.9441347921397476E-2"/>
                  <c:y val="2.31481481481480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1B-4B12-959E-510CE5159DC8}"/>
                </c:ext>
              </c:extLst>
            </c:dLbl>
            <c:dLbl>
              <c:idx val="5"/>
              <c:layout>
                <c:manualLayout>
                  <c:x val="-4.9441347921397476E-2"/>
                  <c:y val="3.70370370370370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1B-4B12-959E-510CE5159DC8}"/>
                </c:ext>
              </c:extLst>
            </c:dLbl>
            <c:dLbl>
              <c:idx val="6"/>
              <c:layout>
                <c:manualLayout>
                  <c:x val="-4.9441347921397476E-2"/>
                  <c:y val="4.166666666666657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1B-4B12-959E-510CE5159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Correntes'!$B$8:$I$8</c:f>
              <c:numCache>
                <c:formatCode>General</c:formatCode>
                <c:ptCount val="8"/>
                <c:pt idx="0">
                  <c:v>1829698.84</c:v>
                </c:pt>
                <c:pt idx="1">
                  <c:v>462159.8</c:v>
                </c:pt>
                <c:pt idx="2">
                  <c:v>3049651.35</c:v>
                </c:pt>
                <c:pt idx="3">
                  <c:v>12169870.67</c:v>
                </c:pt>
                <c:pt idx="4">
                  <c:v>4363228.45</c:v>
                </c:pt>
                <c:pt idx="5">
                  <c:v>5736161.9800000004</c:v>
                </c:pt>
                <c:pt idx="6">
                  <c:v>8621338.5199999996</c:v>
                </c:pt>
                <c:pt idx="7">
                  <c:v>4377166.55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91B-4B12-959E-510CE5159DC8}"/>
            </c:ext>
          </c:extLst>
        </c:ser>
        <c:ser>
          <c:idx val="4"/>
          <c:order val="4"/>
          <c:tx>
            <c:strRef>
              <c:f>'Desp Correntes'!$A$9</c:f>
              <c:strCache>
                <c:ptCount val="1"/>
                <c:pt idx="0">
                  <c:v>Restos a Pagar </c:v>
                </c:pt>
              </c:strCache>
            </c:strRef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596754057428243E-2"/>
                  <c:y val="-6.944444444444453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1B-4B12-959E-510CE5159DC8}"/>
                </c:ext>
              </c:extLst>
            </c:dLbl>
            <c:dLbl>
              <c:idx val="1"/>
              <c:layout>
                <c:manualLayout>
                  <c:x val="-4.3845193508114874E-2"/>
                  <c:y val="-5.555555555555564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1B-4B12-959E-510CE5159DC8}"/>
                </c:ext>
              </c:extLst>
            </c:dLbl>
            <c:dLbl>
              <c:idx val="3"/>
              <c:layout>
                <c:manualLayout>
                  <c:x val="-4.9441347921397476E-2"/>
                  <c:y val="3.703703703703704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1B-4B12-959E-510CE5159DC8}"/>
                </c:ext>
              </c:extLst>
            </c:dLbl>
            <c:dLbl>
              <c:idx val="4"/>
              <c:layout>
                <c:manualLayout>
                  <c:x val="-4.5696029569337639E-2"/>
                  <c:y val="-4.62962962962963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1B-4B12-959E-510CE5159DC8}"/>
                </c:ext>
              </c:extLst>
            </c:dLbl>
            <c:dLbl>
              <c:idx val="5"/>
              <c:layout>
                <c:manualLayout>
                  <c:x val="-4.9441347921397476E-2"/>
                  <c:y val="-6.018518518518516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1B-4B12-959E-510CE5159DC8}"/>
                </c:ext>
              </c:extLst>
            </c:dLbl>
            <c:dLbl>
              <c:idx val="6"/>
              <c:layout>
                <c:manualLayout>
                  <c:x val="-4.9014224345552325E-2"/>
                  <c:y val="-4.16666666666666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1B-4B12-959E-510CE5159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'Desp Correntes'!$B$4:$I$4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'Desp Correntes'!$B$9:$I$9</c:f>
              <c:numCache>
                <c:formatCode>General</c:formatCode>
                <c:ptCount val="8"/>
                <c:pt idx="0">
                  <c:v>153906.01999999999</c:v>
                </c:pt>
                <c:pt idx="1">
                  <c:v>113407.79</c:v>
                </c:pt>
                <c:pt idx="2">
                  <c:v>0</c:v>
                </c:pt>
                <c:pt idx="3">
                  <c:v>5848921.4800000004</c:v>
                </c:pt>
                <c:pt idx="4">
                  <c:v>4061295.1900000004</c:v>
                </c:pt>
                <c:pt idx="5">
                  <c:v>6742670.7199999997</c:v>
                </c:pt>
                <c:pt idx="6">
                  <c:v>10652372.84</c:v>
                </c:pt>
                <c:pt idx="7">
                  <c:v>3086614.83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91B-4B12-959E-510CE5159DC8}"/>
            </c:ext>
          </c:extLst>
        </c:ser>
        <c:dLbls>
          <c:showVal val="1"/>
        </c:dLbls>
        <c:marker val="1"/>
        <c:axId val="83249408"/>
        <c:axId val="83271680"/>
      </c:lineChart>
      <c:catAx>
        <c:axId val="83249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71680"/>
        <c:crosses val="autoZero"/>
        <c:auto val="1"/>
        <c:lblAlgn val="ctr"/>
        <c:lblOffset val="100"/>
      </c:catAx>
      <c:valAx>
        <c:axId val="832716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32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BR"/>
              <a:t>Despesas Por Função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'Desp Correntes'!$A$11</c:f>
              <c:strCache>
                <c:ptCount val="1"/>
                <c:pt idx="0">
                  <c:v>Atenção Básica</c:v>
                </c:pt>
              </c:strCache>
            </c:strRef>
          </c:tx>
          <c:spPr>
            <a:ln w="44450" cap="rnd" cmpd="sng" algn="ctr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Correntes'!$B$11:$I$11</c:f>
              <c:numCache>
                <c:formatCode>General</c:formatCode>
                <c:ptCount val="8"/>
                <c:pt idx="0">
                  <c:v>24251332.690000001</c:v>
                </c:pt>
                <c:pt idx="1">
                  <c:v>21996321.190000001</c:v>
                </c:pt>
                <c:pt idx="2">
                  <c:v>24306386.940000001</c:v>
                </c:pt>
                <c:pt idx="3">
                  <c:v>44790510.289999999</c:v>
                </c:pt>
                <c:pt idx="4">
                  <c:v>44058315.810000002</c:v>
                </c:pt>
                <c:pt idx="5">
                  <c:v>45211257.899999999</c:v>
                </c:pt>
                <c:pt idx="6">
                  <c:v>47054059.969999999</c:v>
                </c:pt>
                <c:pt idx="7">
                  <c:v>52742924.119999997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1E8-4208-8034-733367672FAF}"/>
            </c:ext>
          </c:extLst>
        </c:ser>
        <c:ser>
          <c:idx val="1"/>
          <c:order val="1"/>
          <c:tx>
            <c:strRef>
              <c:f>'Desp Correntes'!$A$12</c:f>
              <c:strCache>
                <c:ptCount val="1"/>
                <c:pt idx="0">
                  <c:v>Assistência Hospitalar e Ambulatoria</c:v>
                </c:pt>
              </c:strCache>
            </c:strRef>
          </c:tx>
          <c:spPr>
            <a:ln w="444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Correntes'!$B$12:$I$12</c:f>
              <c:numCache>
                <c:formatCode>General</c:formatCode>
                <c:ptCount val="8"/>
                <c:pt idx="0">
                  <c:v>31842297.579999998</c:v>
                </c:pt>
                <c:pt idx="1">
                  <c:v>34254508.57</c:v>
                </c:pt>
                <c:pt idx="2">
                  <c:v>34836645.700000003</c:v>
                </c:pt>
                <c:pt idx="3">
                  <c:v>59167869.240000002</c:v>
                </c:pt>
                <c:pt idx="4">
                  <c:v>53359268.340000004</c:v>
                </c:pt>
                <c:pt idx="5">
                  <c:v>65780538.079999998</c:v>
                </c:pt>
                <c:pt idx="6">
                  <c:v>76051619.25</c:v>
                </c:pt>
                <c:pt idx="7">
                  <c:v>84257744.420000002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1E8-4208-8034-733367672FAF}"/>
            </c:ext>
          </c:extLst>
        </c:ser>
        <c:ser>
          <c:idx val="2"/>
          <c:order val="2"/>
          <c:tx>
            <c:strRef>
              <c:f>'Desp Correntes'!$A$13</c:f>
              <c:strCache>
                <c:ptCount val="1"/>
                <c:pt idx="0">
                  <c:v>Suporte Profilático e Terapeutico</c:v>
                </c:pt>
              </c:strCache>
            </c:strRef>
          </c:tx>
          <c:spPr>
            <a:ln w="444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Correntes'!$B$13:$I$13</c:f>
              <c:numCache>
                <c:formatCode>General</c:formatCode>
                <c:ptCount val="8"/>
                <c:pt idx="0">
                  <c:v>5271494.9400000004</c:v>
                </c:pt>
                <c:pt idx="1">
                  <c:v>3827554.25</c:v>
                </c:pt>
                <c:pt idx="2">
                  <c:v>1680116.32</c:v>
                </c:pt>
                <c:pt idx="3">
                  <c:v>1020020.86</c:v>
                </c:pt>
                <c:pt idx="4">
                  <c:v>2160382.71</c:v>
                </c:pt>
                <c:pt idx="5">
                  <c:v>2714032.82</c:v>
                </c:pt>
                <c:pt idx="6">
                  <c:v>2130285.5499999998</c:v>
                </c:pt>
                <c:pt idx="7">
                  <c:v>3460482.58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1E8-4208-8034-733367672FAF}"/>
            </c:ext>
          </c:extLst>
        </c:ser>
        <c:ser>
          <c:idx val="3"/>
          <c:order val="3"/>
          <c:tx>
            <c:strRef>
              <c:f>'Desp Correntes'!$A$14</c:f>
              <c:strCache>
                <c:ptCount val="1"/>
                <c:pt idx="0">
                  <c:v>Vigilância Epidemiolôgiaca</c:v>
                </c:pt>
              </c:strCache>
            </c:strRef>
          </c:tx>
          <c:spPr>
            <a:ln w="44450" cap="rnd" cmpd="sng" algn="ctr">
              <a:solidFill>
                <a:schemeClr val="accent6">
                  <a:lumMod val="60000"/>
                  <a:lumOff val="40000"/>
                  <a:alpha val="91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Correntes'!$B$14:$I$14</c:f>
              <c:numCache>
                <c:formatCode>General</c:formatCode>
                <c:ptCount val="8"/>
                <c:pt idx="0">
                  <c:v>5385148.1900000004</c:v>
                </c:pt>
                <c:pt idx="1">
                  <c:v>8387399.46</c:v>
                </c:pt>
                <c:pt idx="2">
                  <c:v>8699639.6799999997</c:v>
                </c:pt>
                <c:pt idx="3">
                  <c:v>12898004.66</c:v>
                </c:pt>
                <c:pt idx="4">
                  <c:v>11837574.800000001</c:v>
                </c:pt>
                <c:pt idx="5">
                  <c:v>16976530.050000001</c:v>
                </c:pt>
                <c:pt idx="6">
                  <c:v>16659527.779999999</c:v>
                </c:pt>
                <c:pt idx="7">
                  <c:v>18691591.73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1E8-4208-8034-733367672FAF}"/>
            </c:ext>
          </c:extLst>
        </c:ser>
        <c:ser>
          <c:idx val="4"/>
          <c:order val="4"/>
          <c:tx>
            <c:strRef>
              <c:f>'Desp Correntes'!$A$15</c:f>
              <c:strCache>
                <c:ptCount val="1"/>
                <c:pt idx="0">
                  <c:v>Outros Subfunções</c:v>
                </c:pt>
              </c:strCache>
            </c:strRef>
          </c:tx>
          <c:spPr>
            <a:ln w="444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'Desp Correntes'!$B$15:$I$15</c:f>
              <c:numCache>
                <c:formatCode>General</c:formatCode>
                <c:ptCount val="8"/>
                <c:pt idx="0">
                  <c:v>11525244.42</c:v>
                </c:pt>
                <c:pt idx="1">
                  <c:v>13113840.77</c:v>
                </c:pt>
                <c:pt idx="2">
                  <c:v>13010785.67</c:v>
                </c:pt>
                <c:pt idx="3">
                  <c:v>16075920.5</c:v>
                </c:pt>
                <c:pt idx="4">
                  <c:v>13800975.310000001</c:v>
                </c:pt>
                <c:pt idx="5">
                  <c:v>18018044.629999999</c:v>
                </c:pt>
                <c:pt idx="6">
                  <c:v>16808522</c:v>
                </c:pt>
                <c:pt idx="7">
                  <c:v>25882749.530000001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'Desp Correntes'!$B$10:$I$10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1E8-4208-8034-733367672FAF}"/>
            </c:ext>
          </c:extLst>
        </c:ser>
        <c:dLbls>
          <c:showVal val="1"/>
        </c:dLbls>
        <c:marker val="1"/>
        <c:axId val="83929728"/>
        <c:axId val="83939712"/>
      </c:lineChart>
      <c:catAx>
        <c:axId val="83929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44450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39712"/>
        <c:crosses val="autoZero"/>
        <c:auto val="1"/>
        <c:lblAlgn val="ctr"/>
        <c:lblOffset val="100"/>
      </c:catAx>
      <c:valAx>
        <c:axId val="839397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392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23811</xdr:rowOff>
    </xdr:from>
    <xdr:to>
      <xdr:col>12</xdr:col>
      <xdr:colOff>28575</xdr:colOff>
      <xdr:row>33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166687</xdr:rowOff>
    </xdr:from>
    <xdr:to>
      <xdr:col>9</xdr:col>
      <xdr:colOff>9524</xdr:colOff>
      <xdr:row>30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32</xdr:row>
      <xdr:rowOff>14287</xdr:rowOff>
    </xdr:from>
    <xdr:to>
      <xdr:col>8</xdr:col>
      <xdr:colOff>1009649</xdr:colOff>
      <xdr:row>51</xdr:row>
      <xdr:rowOff>38101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460689189/Downloads/Execu&#231;&#227;o%20Or&#231;%20-%202016%20(10%2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/Desktop/Leonel/Sa&#250;de/Relat&#243;rios/Gest&#227;o%202014/Anexo%20-%2011%20-%20jan%20a%20dez-2014%20A%20(07%20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/Desktop/Leonel/Sa&#250;de/Or&#231;amento%202016/Repasses%202010%20a%202015%20(02%20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 Por Ação - ok"/>
      <sheetName val="Resumo"/>
      <sheetName val="Por Fonte - Geral"/>
      <sheetName val="Por Fonte - semestre"/>
      <sheetName val="Restos a Pagar"/>
      <sheetName val="Geral (4)"/>
      <sheetName val="Por Ficha"/>
      <sheetName val="Por Função"/>
      <sheetName val="Desp Ex Ant"/>
      <sheetName val="Geral (2)"/>
      <sheetName val="Plan1"/>
      <sheetName val="Plan3"/>
      <sheetName val="Repasse"/>
      <sheetName val="repo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1450120.9</v>
          </cell>
        </row>
        <row r="5">
          <cell r="B5">
            <v>24196406</v>
          </cell>
        </row>
        <row r="6">
          <cell r="B6">
            <v>30000</v>
          </cell>
        </row>
        <row r="7">
          <cell r="B7">
            <v>7300916.7000000002</v>
          </cell>
        </row>
        <row r="8">
          <cell r="B8">
            <v>37090602.399999999</v>
          </cell>
        </row>
        <row r="10">
          <cell r="B10">
            <v>4865518.4400000004</v>
          </cell>
        </row>
        <row r="11">
          <cell r="B11">
            <v>74933564.439999998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1"/>
      <sheetName val="Repasse"/>
      <sheetName val="Anexo 11 A"/>
      <sheetName val="Anexo 11 A (2)"/>
      <sheetName val="Ficha"/>
      <sheetName val="Total Ação"/>
      <sheetName val="Total Ação (2)"/>
      <sheetName val="Anexo 11 Fonte"/>
      <sheetName val="Anexo 11 A (3)"/>
    </sheetNames>
    <sheetDataSet>
      <sheetData sheetId="0"/>
      <sheetData sheetId="1"/>
      <sheetData sheetId="2"/>
      <sheetData sheetId="3">
        <row r="12">
          <cell r="P12">
            <v>1763800</v>
          </cell>
        </row>
        <row r="15">
          <cell r="I15">
            <v>284000</v>
          </cell>
        </row>
        <row r="37">
          <cell r="I37">
            <v>1631056.47</v>
          </cell>
        </row>
        <row r="63">
          <cell r="I63">
            <v>26484860.719999999</v>
          </cell>
        </row>
        <row r="65">
          <cell r="I65">
            <v>4350</v>
          </cell>
        </row>
        <row r="127">
          <cell r="I127">
            <v>3838284.94</v>
          </cell>
        </row>
        <row r="149">
          <cell r="I149">
            <v>786492</v>
          </cell>
        </row>
        <row r="220">
          <cell r="I220">
            <v>9691017.4399999995</v>
          </cell>
        </row>
        <row r="236">
          <cell r="I236">
            <v>636211.64</v>
          </cell>
        </row>
        <row r="247">
          <cell r="I247">
            <v>1226614.78</v>
          </cell>
        </row>
        <row r="327">
          <cell r="I327">
            <v>12787918.120000001</v>
          </cell>
        </row>
        <row r="367">
          <cell r="I367">
            <v>6709005.9000000004</v>
          </cell>
        </row>
        <row r="396">
          <cell r="I396">
            <v>8545750.0899999999</v>
          </cell>
        </row>
        <row r="416">
          <cell r="I416">
            <v>10482911.24</v>
          </cell>
        </row>
        <row r="421">
          <cell r="I421">
            <v>12592.4</v>
          </cell>
        </row>
        <row r="440">
          <cell r="I440">
            <v>1127414</v>
          </cell>
        </row>
        <row r="558">
          <cell r="I558">
            <v>35482941.080000006</v>
          </cell>
        </row>
        <row r="560">
          <cell r="I560">
            <v>100000</v>
          </cell>
        </row>
        <row r="615">
          <cell r="I615">
            <v>2053843.96</v>
          </cell>
        </row>
        <row r="634">
          <cell r="I634">
            <v>669703</v>
          </cell>
        </row>
        <row r="638">
          <cell r="I638">
            <v>172225</v>
          </cell>
        </row>
        <row r="640">
          <cell r="I640">
            <v>33662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2010"/>
      <sheetName val="2011"/>
      <sheetName val="2012"/>
      <sheetName val="2013"/>
      <sheetName val="2014"/>
      <sheetName val="2015"/>
      <sheetName val="2015 (2)"/>
      <sheetName val="2014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D33">
            <v>1262602.3000000003</v>
          </cell>
        </row>
        <row r="112">
          <cell r="D112">
            <v>22543440.41</v>
          </cell>
        </row>
        <row r="114">
          <cell r="D114">
            <v>27000</v>
          </cell>
        </row>
        <row r="122">
          <cell r="D122">
            <v>1246008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sqref="A1:K1"/>
    </sheetView>
  </sheetViews>
  <sheetFormatPr defaultRowHeight="15"/>
  <cols>
    <col min="1" max="1" width="47.5703125" customWidth="1"/>
    <col min="2" max="7" width="15" customWidth="1"/>
    <col min="8" max="9" width="15" bestFit="1" customWidth="1"/>
    <col min="10" max="10" width="8.85546875" style="1" bestFit="1" customWidth="1"/>
    <col min="11" max="11" width="9.140625" style="1"/>
  </cols>
  <sheetData>
    <row r="1" spans="1:1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>
      <c r="A5" s="72"/>
      <c r="B5" s="73">
        <v>2009</v>
      </c>
      <c r="C5" s="73">
        <v>2010</v>
      </c>
      <c r="D5" s="73">
        <v>2011</v>
      </c>
      <c r="E5" s="73">
        <v>2012</v>
      </c>
      <c r="F5" s="73">
        <v>2013</v>
      </c>
      <c r="G5" s="73">
        <v>2014</v>
      </c>
      <c r="H5" s="73">
        <v>2015</v>
      </c>
      <c r="I5" s="73">
        <v>2016</v>
      </c>
      <c r="J5" s="37" t="s">
        <v>3</v>
      </c>
      <c r="K5" s="38" t="s">
        <v>4</v>
      </c>
    </row>
    <row r="6" spans="1:11">
      <c r="A6" s="42" t="s">
        <v>5</v>
      </c>
      <c r="B6">
        <f t="shared" ref="B6:F6" si="0">SUM(B7:B10)</f>
        <v>57050546.75</v>
      </c>
      <c r="C6">
        <f t="shared" si="0"/>
        <v>73677410.469999984</v>
      </c>
      <c r="D6">
        <f t="shared" si="0"/>
        <v>66592881.949999996</v>
      </c>
      <c r="E6">
        <f t="shared" si="0"/>
        <v>111589221.05999999</v>
      </c>
      <c r="F6">
        <f t="shared" si="0"/>
        <v>121512901.90000002</v>
      </c>
      <c r="G6">
        <f>SUM(G7:G10)</f>
        <v>193496548.12</v>
      </c>
      <c r="H6">
        <f>SUM(H7:H10)</f>
        <v>198124908.94999999</v>
      </c>
      <c r="I6">
        <f>SUM(I7:I10)</f>
        <v>194840578.08000001</v>
      </c>
      <c r="J6">
        <f t="shared" ref="J6:J17" si="1">I6/H6-1</f>
        <v>-1.6577071946207611E-2</v>
      </c>
      <c r="K6">
        <f t="shared" ref="K6:K17" si="2">I6/B6-1</f>
        <v>2.4152271832521923</v>
      </c>
    </row>
    <row r="7" spans="1:11">
      <c r="A7" s="2" t="s">
        <v>6</v>
      </c>
      <c r="B7">
        <v>51209550.509999998</v>
      </c>
      <c r="C7">
        <v>63073741.460000001</v>
      </c>
      <c r="D7">
        <v>56350810.780000001</v>
      </c>
      <c r="E7">
        <v>91862226.769999996</v>
      </c>
      <c r="F7">
        <f>24431902.83+11915731.52+53577836.02+22004077.18</f>
        <v>111929547.55000001</v>
      </c>
      <c r="G7">
        <f>49107656.51+13899849.14+77885455.1+27159941.67</f>
        <v>168052902.42000002</v>
      </c>
      <c r="H7">
        <f>46312266.67+15114503.21+85405798.47+27263803.56</f>
        <v>174096371.91</v>
      </c>
      <c r="I7">
        <f>44631705.72+14249527.38+87793394.59+32637076.56</f>
        <v>179311704.25</v>
      </c>
      <c r="J7">
        <f t="shared" si="1"/>
        <v>2.9956582568510415E-2</v>
      </c>
      <c r="K7">
        <f t="shared" si="2"/>
        <v>2.5015285716086244</v>
      </c>
    </row>
    <row r="8" spans="1:11">
      <c r="A8" s="2" t="s">
        <v>7</v>
      </c>
      <c r="B8">
        <v>779368.83</v>
      </c>
      <c r="C8">
        <v>1376349.8</v>
      </c>
      <c r="D8">
        <v>960299.15</v>
      </c>
      <c r="E8">
        <v>817212.22</v>
      </c>
      <c r="F8">
        <v>878827.98</v>
      </c>
      <c r="G8">
        <v>1233571.78</v>
      </c>
      <c r="H8">
        <v>1888845.63</v>
      </c>
      <c r="I8">
        <v>3632814.41</v>
      </c>
      <c r="J8">
        <f t="shared" si="1"/>
        <v>0.92329873458213751</v>
      </c>
      <c r="K8">
        <f t="shared" si="2"/>
        <v>3.6612262001804723</v>
      </c>
    </row>
    <row r="9" spans="1:11">
      <c r="A9" s="2" t="s">
        <v>8</v>
      </c>
      <c r="B9">
        <v>4054298.99</v>
      </c>
      <c r="C9">
        <v>7526655.1399999997</v>
      </c>
      <c r="D9">
        <v>7922413.9699999997</v>
      </c>
      <c r="E9">
        <v>17074656.93</v>
      </c>
      <c r="F9">
        <v>6785774.3399999999</v>
      </c>
      <c r="G9">
        <v>17300698.16</v>
      </c>
      <c r="H9">
        <v>17424774.850000001</v>
      </c>
      <c r="I9">
        <v>8165036.1200000001</v>
      </c>
      <c r="J9">
        <f t="shared" si="1"/>
        <v>-0.53141224547874155</v>
      </c>
      <c r="K9">
        <f t="shared" si="2"/>
        <v>1.0139205668203566</v>
      </c>
    </row>
    <row r="10" spans="1:11">
      <c r="A10" s="2" t="s">
        <v>9</v>
      </c>
      <c r="B10">
        <v>1007328.42</v>
      </c>
      <c r="C10">
        <v>1700664.07</v>
      </c>
      <c r="D10">
        <v>1359358.05</v>
      </c>
      <c r="E10">
        <v>1835125.14</v>
      </c>
      <c r="F10">
        <v>1918752.03</v>
      </c>
      <c r="G10">
        <v>6909375.7599999998</v>
      </c>
      <c r="H10">
        <v>4714916.5599999996</v>
      </c>
      <c r="I10">
        <v>3731023.3</v>
      </c>
      <c r="J10">
        <f t="shared" si="1"/>
        <v>-0.20867670667749838</v>
      </c>
      <c r="K10">
        <f t="shared" si="2"/>
        <v>2.7038797138275914</v>
      </c>
    </row>
    <row r="11" spans="1:11">
      <c r="A11" s="42" t="s">
        <v>10</v>
      </c>
      <c r="B11" s="106">
        <f t="shared" ref="B11:F11" si="3">SUM(B12:B13)</f>
        <v>194610213.39000002</v>
      </c>
      <c r="C11" s="106">
        <f t="shared" si="3"/>
        <v>210872495.60999998</v>
      </c>
      <c r="D11" s="106">
        <f t="shared" si="3"/>
        <v>221937656.28</v>
      </c>
      <c r="E11" s="106">
        <f t="shared" si="3"/>
        <v>282512725.88999999</v>
      </c>
      <c r="F11" s="106">
        <f t="shared" si="3"/>
        <v>297626522.07999998</v>
      </c>
      <c r="G11" s="106">
        <f>SUM(G12:G13)</f>
        <v>322278499.60000002</v>
      </c>
      <c r="H11" s="106">
        <f>SUM(H12:H13)</f>
        <v>343389411.23999995</v>
      </c>
      <c r="I11" s="106">
        <v>386674123.74000001</v>
      </c>
      <c r="J11">
        <f t="shared" si="1"/>
        <v>0.12605138971436647</v>
      </c>
      <c r="K11">
        <f t="shared" si="2"/>
        <v>0.98691588177390654</v>
      </c>
    </row>
    <row r="12" spans="1:11">
      <c r="A12" s="2" t="s">
        <v>11</v>
      </c>
      <c r="B12">
        <v>145533844.05000001</v>
      </c>
      <c r="C12">
        <v>147692734.38</v>
      </c>
      <c r="D12">
        <v>157353293.81</v>
      </c>
      <c r="E12">
        <v>182244519.71000001</v>
      </c>
      <c r="F12">
        <v>186788798.09999999</v>
      </c>
      <c r="G12">
        <v>215748873.56</v>
      </c>
      <c r="H12">
        <f>223144856.42+121176.17+204981.7+69425.31</f>
        <v>223540439.59999996</v>
      </c>
      <c r="I12">
        <v>248645527.63</v>
      </c>
      <c r="J12">
        <f t="shared" si="1"/>
        <v>0.11230669526696246</v>
      </c>
      <c r="K12">
        <f t="shared" si="2"/>
        <v>0.70850656253245559</v>
      </c>
    </row>
    <row r="13" spans="1:11">
      <c r="A13" s="2" t="s">
        <v>12</v>
      </c>
      <c r="B13">
        <v>49076369.340000004</v>
      </c>
      <c r="C13">
        <v>63179761.229999997</v>
      </c>
      <c r="D13">
        <v>64584362.469999999</v>
      </c>
      <c r="E13">
        <v>100268206.18000001</v>
      </c>
      <c r="F13">
        <f>81364.87+21867964.9+88708801.03+98005.73+81587.45</f>
        <v>110837723.98</v>
      </c>
      <c r="G13">
        <f>86768.3+25546963.65+80895894.09</f>
        <v>106529626.04000001</v>
      </c>
      <c r="H13">
        <f>30152570.91+89696400.73</f>
        <v>119848971.64</v>
      </c>
      <c r="I13">
        <f>I11-I12</f>
        <v>138028596.11000001</v>
      </c>
      <c r="J13">
        <f t="shared" si="1"/>
        <v>0.15168778022232532</v>
      </c>
      <c r="K13">
        <f t="shared" si="2"/>
        <v>1.8125266389153798</v>
      </c>
    </row>
    <row r="14" spans="1:11">
      <c r="A14" s="42" t="s">
        <v>13</v>
      </c>
      <c r="B14">
        <f t="shared" ref="B14:G14" si="4">B11+B6</f>
        <v>251660760.14000002</v>
      </c>
      <c r="C14">
        <f t="shared" si="4"/>
        <v>284549906.07999998</v>
      </c>
      <c r="D14">
        <f t="shared" si="4"/>
        <v>288530538.23000002</v>
      </c>
      <c r="E14">
        <f t="shared" si="4"/>
        <v>394101946.94999999</v>
      </c>
      <c r="F14">
        <f t="shared" si="4"/>
        <v>419139423.98000002</v>
      </c>
      <c r="G14">
        <f t="shared" si="4"/>
        <v>515775047.72000003</v>
      </c>
      <c r="H14">
        <f>H11+H6</f>
        <v>541514320.18999994</v>
      </c>
      <c r="I14">
        <f>I11+I6</f>
        <v>581514701.82000005</v>
      </c>
      <c r="J14">
        <f t="shared" si="1"/>
        <v>7.3867634037757757E-2</v>
      </c>
      <c r="K14">
        <f t="shared" si="2"/>
        <v>1.3107086758241562</v>
      </c>
    </row>
    <row r="15" spans="1:11">
      <c r="A15" s="2" t="s">
        <v>14</v>
      </c>
      <c r="B15">
        <v>28268653.5</v>
      </c>
      <c r="C15">
        <v>32614938.030000001</v>
      </c>
      <c r="D15">
        <v>41847725.079999998</v>
      </c>
      <c r="E15">
        <v>64170085.060000002</v>
      </c>
      <c r="F15">
        <v>66438771.780000001</v>
      </c>
      <c r="G15">
        <v>64001667.740000002</v>
      </c>
      <c r="H15" s="107">
        <v>73754318.480000004</v>
      </c>
      <c r="I15" s="107">
        <f>SUM(I16:I20)</f>
        <v>90578817.810000002</v>
      </c>
      <c r="J15">
        <f t="shared" si="1"/>
        <v>0.22811544702378761</v>
      </c>
      <c r="K15">
        <f t="shared" si="2"/>
        <v>2.2042140885840213</v>
      </c>
    </row>
    <row r="16" spans="1:11">
      <c r="A16" s="2" t="s">
        <v>15</v>
      </c>
      <c r="B16">
        <v>27591030.699999999</v>
      </c>
      <c r="C16">
        <v>31922827.27</v>
      </c>
      <c r="D16">
        <v>39688730.75</v>
      </c>
      <c r="E16">
        <v>58199293.520000003</v>
      </c>
      <c r="F16" s="107">
        <v>61824273.869999997</v>
      </c>
      <c r="G16">
        <f>G15-G17-G19-G20-G21</f>
        <v>57325502.890000001</v>
      </c>
      <c r="H16">
        <v>67154606.349999994</v>
      </c>
      <c r="I16">
        <v>75720020.780000001</v>
      </c>
      <c r="J16">
        <f t="shared" si="1"/>
        <v>0.12754768281059259</v>
      </c>
      <c r="K16">
        <f t="shared" si="2"/>
        <v>1.7443708646955334</v>
      </c>
    </row>
    <row r="17" spans="1:11">
      <c r="A17" s="2" t="s">
        <v>16</v>
      </c>
      <c r="B17">
        <v>363058.98</v>
      </c>
      <c r="C17">
        <v>448522.72</v>
      </c>
      <c r="D17">
        <v>1162119.26</v>
      </c>
      <c r="E17">
        <v>4878464.38</v>
      </c>
      <c r="F17">
        <v>2145130.79</v>
      </c>
      <c r="G17">
        <v>2506936.2799999998</v>
      </c>
      <c r="H17">
        <v>2331593.83</v>
      </c>
      <c r="I17">
        <v>11473484.699999999</v>
      </c>
      <c r="J17">
        <f t="shared" si="1"/>
        <v>3.920876248844765</v>
      </c>
      <c r="K17">
        <f t="shared" si="2"/>
        <v>30.602261153270469</v>
      </c>
    </row>
    <row r="18" spans="1:11">
      <c r="A18" s="2" t="s">
        <v>17</v>
      </c>
      <c r="B18">
        <v>0</v>
      </c>
      <c r="C18">
        <v>0</v>
      </c>
      <c r="D18">
        <v>0</v>
      </c>
      <c r="E18">
        <v>1833190.87</v>
      </c>
      <c r="F18">
        <v>0</v>
      </c>
      <c r="H18" s="39"/>
      <c r="I18" s="39"/>
      <c r="J18"/>
      <c r="K18"/>
    </row>
    <row r="19" spans="1:11">
      <c r="A19" s="2" t="s">
        <v>18</v>
      </c>
      <c r="B19">
        <v>314563.82</v>
      </c>
      <c r="C19">
        <v>243588.04</v>
      </c>
      <c r="D19">
        <v>996875.07</v>
      </c>
      <c r="E19">
        <v>1092327.1599999999</v>
      </c>
      <c r="F19">
        <v>1422130.31</v>
      </c>
      <c r="G19">
        <v>2493319.7000000002</v>
      </c>
      <c r="H19">
        <v>3333401.62</v>
      </c>
      <c r="I19">
        <v>2507406.2000000002</v>
      </c>
      <c r="J19">
        <f>I19/H19-1</f>
        <v>-0.24779354970134082</v>
      </c>
      <c r="K19">
        <f>I19/B19-1</f>
        <v>6.9710571927820562</v>
      </c>
    </row>
    <row r="20" spans="1:11">
      <c r="A20" s="2" t="s">
        <v>19</v>
      </c>
      <c r="B20">
        <v>0</v>
      </c>
      <c r="D20">
        <v>0</v>
      </c>
      <c r="E20">
        <v>0</v>
      </c>
      <c r="F20">
        <v>867643.63</v>
      </c>
      <c r="G20" s="107">
        <v>900000</v>
      </c>
      <c r="H20">
        <v>934716.68</v>
      </c>
      <c r="I20">
        <v>877906.13</v>
      </c>
      <c r="J20">
        <f>I20/H20-1</f>
        <v>-6.0778363343211184E-2</v>
      </c>
      <c r="K20">
        <v>1</v>
      </c>
    </row>
    <row r="21" spans="1:11">
      <c r="A21" s="2" t="s">
        <v>20</v>
      </c>
      <c r="B21">
        <v>899639.68</v>
      </c>
      <c r="C21">
        <v>153404.71</v>
      </c>
      <c r="D21">
        <v>483454.45</v>
      </c>
      <c r="E21">
        <v>267644.24</v>
      </c>
      <c r="F21">
        <f>98005.73+81587.45</f>
        <v>179593.18</v>
      </c>
      <c r="G21" s="107">
        <f>467108.14+308800.73</f>
        <v>775908.87</v>
      </c>
      <c r="H21">
        <v>0</v>
      </c>
      <c r="I21">
        <v>0</v>
      </c>
      <c r="J21"/>
      <c r="K21">
        <f>I21/B21-1</f>
        <v>-1</v>
      </c>
    </row>
    <row r="22" spans="1:11">
      <c r="A22" s="3" t="s">
        <v>21</v>
      </c>
      <c r="B22">
        <v>37674899.43</v>
      </c>
      <c r="C22">
        <v>41161783.590000004</v>
      </c>
      <c r="D22">
        <v>44374457.009999998</v>
      </c>
      <c r="E22">
        <v>54938315.969999999</v>
      </c>
      <c r="F22">
        <v>0</v>
      </c>
      <c r="G22" s="108">
        <f>G15-G17-G19-G20-G21</f>
        <v>57325502.890000001</v>
      </c>
      <c r="H22" s="40"/>
      <c r="I22" s="40"/>
      <c r="J22"/>
      <c r="K22">
        <f>I22/B22-1</f>
        <v>-1</v>
      </c>
    </row>
    <row r="23" spans="1:11" s="1" customFormat="1">
      <c r="A23" s="36"/>
      <c r="B23" s="109"/>
      <c r="C23" s="109"/>
      <c r="D23" s="109"/>
      <c r="E23" s="109"/>
      <c r="F23" s="109"/>
      <c r="G23" s="109"/>
      <c r="H23" s="109"/>
      <c r="I23" s="109"/>
      <c r="J23"/>
      <c r="K23"/>
    </row>
    <row r="24" spans="1:11" s="1" customFormat="1">
      <c r="A24" s="36"/>
      <c r="B24" s="36"/>
      <c r="C24" s="36"/>
      <c r="D24" s="36"/>
      <c r="E24" s="36"/>
      <c r="F24" s="36"/>
      <c r="G24" s="36"/>
      <c r="H24" s="36"/>
      <c r="I24" s="36"/>
      <c r="J24"/>
      <c r="K24"/>
    </row>
    <row r="25" spans="1:11">
      <c r="A25" s="95" t="s">
        <v>22</v>
      </c>
      <c r="B25">
        <v>76445818.980000004</v>
      </c>
      <c r="C25">
        <v>81117464.439999998</v>
      </c>
      <c r="D25">
        <v>79483922.959999993</v>
      </c>
      <c r="E25">
        <v>121791454.88</v>
      </c>
      <c r="F25">
        <v>120943288.52</v>
      </c>
      <c r="G25">
        <f>SUM(G26:G28)</f>
        <v>142915011.84</v>
      </c>
      <c r="H25">
        <v>150082676.03</v>
      </c>
      <c r="I25">
        <f>I26+I28</f>
        <v>178339387.69</v>
      </c>
      <c r="J25">
        <f>I25/H25-1</f>
        <v>0.18827430591890404</v>
      </c>
      <c r="K25">
        <f>I25/B25-1</f>
        <v>1.3328860893838774</v>
      </c>
    </row>
    <row r="26" spans="1:11">
      <c r="A26" s="2" t="s">
        <v>23</v>
      </c>
      <c r="B26">
        <v>51880932.25</v>
      </c>
      <c r="C26">
        <v>56234551.359999999</v>
      </c>
      <c r="D26">
        <v>52581761.079999998</v>
      </c>
      <c r="E26">
        <v>86278690.099999994</v>
      </c>
      <c r="F26">
        <v>90795965.780000001</v>
      </c>
      <c r="G26">
        <v>102180175.81</v>
      </c>
      <c r="H26">
        <v>104624490.76000001</v>
      </c>
      <c r="I26">
        <v>123949021.55</v>
      </c>
      <c r="J26">
        <f>I26/H26-1</f>
        <v>0.18470370225580246</v>
      </c>
      <c r="K26">
        <f>I26/B26-1</f>
        <v>1.3891055186272214</v>
      </c>
    </row>
    <row r="27" spans="1:11">
      <c r="A27" s="2" t="s">
        <v>24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/>
      <c r="K27"/>
    </row>
    <row r="28" spans="1:11">
      <c r="A28" s="2" t="s">
        <v>25</v>
      </c>
      <c r="B28">
        <v>24564886.73</v>
      </c>
      <c r="C28">
        <v>24882913.079999998</v>
      </c>
      <c r="D28">
        <v>26902161.879999999</v>
      </c>
      <c r="E28">
        <v>35512764.780000001</v>
      </c>
      <c r="F28">
        <v>30147322.739999998</v>
      </c>
      <c r="G28">
        <v>40734836.030000001</v>
      </c>
      <c r="H28">
        <v>45458185.270000003</v>
      </c>
      <c r="I28">
        <v>54390366.140000001</v>
      </c>
      <c r="J28">
        <f>I28/H28-1</f>
        <v>0.1964922448387918</v>
      </c>
      <c r="K28">
        <f>I28/B28-1</f>
        <v>1.2141509031904256</v>
      </c>
    </row>
    <row r="29" spans="1:11">
      <c r="A29" s="2" t="s">
        <v>26</v>
      </c>
      <c r="B29">
        <v>1829698.84</v>
      </c>
      <c r="C29">
        <v>462159.8</v>
      </c>
      <c r="D29">
        <v>3049651.35</v>
      </c>
      <c r="E29">
        <v>12169870.67</v>
      </c>
      <c r="F29">
        <f>F30</f>
        <v>4363228.45</v>
      </c>
      <c r="G29">
        <f>G30</f>
        <v>5736161.9800000004</v>
      </c>
      <c r="H29" s="107">
        <f>H30</f>
        <v>8621338.5199999996</v>
      </c>
      <c r="I29" s="107">
        <f>I30</f>
        <v>3609489.86</v>
      </c>
      <c r="J29">
        <f>I29/H29-1</f>
        <v>-0.58133068877569138</v>
      </c>
      <c r="K29">
        <f>I29/B29-1</f>
        <v>0.97272347836215478</v>
      </c>
    </row>
    <row r="30" spans="1:11">
      <c r="A30" s="2" t="s">
        <v>27</v>
      </c>
      <c r="B30">
        <v>1829698.84</v>
      </c>
      <c r="C30">
        <v>462159.8</v>
      </c>
      <c r="D30">
        <v>3049651.35</v>
      </c>
      <c r="E30">
        <v>12169870.67</v>
      </c>
      <c r="F30">
        <v>4363228.45</v>
      </c>
      <c r="G30">
        <v>5736161.9800000004</v>
      </c>
      <c r="H30">
        <v>8621338.5199999996</v>
      </c>
      <c r="I30">
        <v>3609489.86</v>
      </c>
      <c r="J30">
        <f>I30/H30-1</f>
        <v>-0.58133068877569138</v>
      </c>
      <c r="K30">
        <f>I30/B30-1</f>
        <v>0.97272347836215478</v>
      </c>
    </row>
    <row r="31" spans="1:11">
      <c r="A31" s="2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J31"/>
      <c r="K31"/>
    </row>
    <row r="32" spans="1:11">
      <c r="A32" s="2" t="s">
        <v>29</v>
      </c>
      <c r="B32">
        <f>151866.02+2040</f>
        <v>153906.01999999999</v>
      </c>
      <c r="C32">
        <v>113407.79</v>
      </c>
      <c r="D32">
        <v>0</v>
      </c>
      <c r="E32">
        <v>5848921.4800000004</v>
      </c>
      <c r="F32">
        <f>2913438.24+1147856.95</f>
        <v>4061295.1900000004</v>
      </c>
      <c r="G32">
        <f>4953099.47+1789571.25</f>
        <v>6742670.7199999997</v>
      </c>
      <c r="H32">
        <v>10652372.84</v>
      </c>
      <c r="I32">
        <v>3086614.83</v>
      </c>
      <c r="J32">
        <f>I32/H32-1</f>
        <v>-0.71024156998995913</v>
      </c>
      <c r="K32">
        <f>I32/B32-1</f>
        <v>19.055192318013294</v>
      </c>
    </row>
    <row r="33" spans="1:11">
      <c r="A33" s="2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J33"/>
      <c r="K33"/>
    </row>
    <row r="34" spans="1:11">
      <c r="A34" s="2" t="s">
        <v>31</v>
      </c>
      <c r="B34">
        <f>B25+B29+B32</f>
        <v>78429423.840000004</v>
      </c>
      <c r="C34">
        <f>C25+C29+C32</f>
        <v>81693032.030000001</v>
      </c>
      <c r="D34">
        <f>D25+D29+D32</f>
        <v>82533574.309999987</v>
      </c>
      <c r="E34">
        <f>E25+E29+E32</f>
        <v>139810247.03</v>
      </c>
      <c r="F34">
        <f>F25+F28+F32</f>
        <v>155151906.44999999</v>
      </c>
      <c r="G34">
        <f>G25+G30+G32</f>
        <v>155393844.53999999</v>
      </c>
      <c r="H34" s="107">
        <f>H25+H29</f>
        <v>158704014.55000001</v>
      </c>
      <c r="I34" s="107">
        <f>I25+I29</f>
        <v>181948877.55000001</v>
      </c>
      <c r="J34">
        <f>I34/H34-1</f>
        <v>0.14646676119636948</v>
      </c>
      <c r="K34">
        <f t="shared" ref="K34:K40" si="5">I34/B34-1</f>
        <v>1.3199058292355295</v>
      </c>
    </row>
    <row r="35" spans="1:11">
      <c r="A35" s="2" t="s">
        <v>32</v>
      </c>
      <c r="B35" s="107">
        <f>'Exec Orç 09 a 16'!$C$6</f>
        <v>48793972.200000003</v>
      </c>
      <c r="C35" s="107">
        <f>'Exec Orç 09 a 16'!$C$7</f>
        <v>50004701.130000003</v>
      </c>
      <c r="D35" s="107">
        <f>'Exec Orç 09 a 16'!$C$8</f>
        <v>46327236.189999998</v>
      </c>
      <c r="E35" s="107">
        <f>'Exec Orç 09 a 16'!$C$9</f>
        <v>81341634.260000005</v>
      </c>
      <c r="F35" s="107">
        <f>'Exec Orç 09 a 16'!$C$10</f>
        <v>73310580.069999993</v>
      </c>
      <c r="G35" s="107">
        <f>'Exec Orç 09 a 16'!$C$11</f>
        <v>83759027.640000001</v>
      </c>
      <c r="H35" s="107">
        <f>'Exec Orç 09 a 16'!$C$12</f>
        <v>85346249.530000001</v>
      </c>
      <c r="I35" s="107">
        <v>87799378.739999995</v>
      </c>
      <c r="J35">
        <f>I35/H35-1</f>
        <v>2.8743257301982572E-2</v>
      </c>
      <c r="K35">
        <f t="shared" si="5"/>
        <v>0.79938985865143386</v>
      </c>
    </row>
    <row r="36" spans="1:11">
      <c r="A36" s="41"/>
      <c r="B36">
        <f t="shared" ref="B36:I36" si="6">B35/B14</f>
        <v>0.19388788372432672</v>
      </c>
      <c r="C36">
        <f t="shared" si="6"/>
        <v>0.17573262215711782</v>
      </c>
      <c r="D36">
        <f t="shared" si="6"/>
        <v>0.16056267899472942</v>
      </c>
      <c r="E36">
        <f t="shared" si="6"/>
        <v>0.20639744332529239</v>
      </c>
      <c r="F36">
        <f t="shared" si="6"/>
        <v>0.17490738373849113</v>
      </c>
      <c r="G36">
        <f t="shared" si="6"/>
        <v>0.16239449351080368</v>
      </c>
      <c r="H36">
        <f t="shared" si="6"/>
        <v>0.15760663448393156</v>
      </c>
      <c r="I36">
        <f t="shared" si="6"/>
        <v>0.15098393637376531</v>
      </c>
      <c r="J36">
        <f>I36/H36-1</f>
        <v>-4.2020427197444254E-2</v>
      </c>
      <c r="K36">
        <f t="shared" si="5"/>
        <v>-0.22128225099183096</v>
      </c>
    </row>
    <row r="37" spans="1:11" s="1" customFormat="1">
      <c r="A37" s="4"/>
      <c r="B37" s="73">
        <v>2009</v>
      </c>
      <c r="C37" s="73">
        <v>2010</v>
      </c>
      <c r="D37" s="73">
        <v>2011</v>
      </c>
      <c r="E37" s="73">
        <v>2012</v>
      </c>
      <c r="F37" s="73">
        <v>2013</v>
      </c>
      <c r="G37" s="73">
        <v>2014</v>
      </c>
      <c r="H37" s="73">
        <v>2015</v>
      </c>
      <c r="I37" s="73">
        <v>2016</v>
      </c>
      <c r="J37"/>
      <c r="K37"/>
    </row>
    <row r="38" spans="1:11">
      <c r="A38" s="2" t="s">
        <v>33</v>
      </c>
      <c r="B38">
        <v>24251332.690000001</v>
      </c>
      <c r="C38">
        <v>21996321.190000001</v>
      </c>
      <c r="D38">
        <v>24306386.940000001</v>
      </c>
      <c r="E38">
        <v>44790510.289999999</v>
      </c>
      <c r="F38">
        <v>44058315.810000002</v>
      </c>
      <c r="G38">
        <v>45211257.899999999</v>
      </c>
      <c r="H38">
        <v>47054059.969999999</v>
      </c>
      <c r="I38">
        <v>52384213.420000002</v>
      </c>
      <c r="J38">
        <f>I38/H38-1</f>
        <v>0.11327722737205503</v>
      </c>
      <c r="K38">
        <f t="shared" si="5"/>
        <v>1.1600550406700143</v>
      </c>
    </row>
    <row r="39" spans="1:11">
      <c r="A39" s="2" t="s">
        <v>34</v>
      </c>
      <c r="B39">
        <v>31842297.579999998</v>
      </c>
      <c r="C39">
        <v>34254508.57</v>
      </c>
      <c r="D39">
        <v>34836645.700000003</v>
      </c>
      <c r="E39">
        <v>59167869.240000002</v>
      </c>
      <c r="F39">
        <v>53359268.340000004</v>
      </c>
      <c r="G39">
        <v>65780538.079999998</v>
      </c>
      <c r="H39">
        <v>76051619.25</v>
      </c>
      <c r="I39">
        <v>82346920.959999993</v>
      </c>
      <c r="J39">
        <f>I39/H39-1</f>
        <v>8.2776695250969201E-2</v>
      </c>
      <c r="K39">
        <f t="shared" si="5"/>
        <v>1.5860860307932589</v>
      </c>
    </row>
    <row r="40" spans="1:11">
      <c r="A40" s="2" t="s">
        <v>35</v>
      </c>
      <c r="B40">
        <v>5271494.9400000004</v>
      </c>
      <c r="C40">
        <v>3827554.25</v>
      </c>
      <c r="D40">
        <v>1680116.32</v>
      </c>
      <c r="E40">
        <v>1020020.86</v>
      </c>
      <c r="F40">
        <v>2160382.71</v>
      </c>
      <c r="G40">
        <v>2714032.82</v>
      </c>
      <c r="H40">
        <v>2130285.5499999998</v>
      </c>
      <c r="I40">
        <v>2894717.39</v>
      </c>
      <c r="J40">
        <f>I40/H40-1</f>
        <v>0.35884008132149248</v>
      </c>
      <c r="K40">
        <f t="shared" si="5"/>
        <v>-0.45087353341934544</v>
      </c>
    </row>
    <row r="41" spans="1:11">
      <c r="A41" s="2" t="s">
        <v>36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 s="39"/>
      <c r="I41" s="39"/>
      <c r="J41"/>
      <c r="K41"/>
    </row>
    <row r="42" spans="1:11">
      <c r="A42" s="2" t="s">
        <v>37</v>
      </c>
      <c r="B42">
        <v>5385148.1900000004</v>
      </c>
      <c r="C42">
        <v>8387399.46</v>
      </c>
      <c r="D42">
        <v>8699639.6799999997</v>
      </c>
      <c r="E42">
        <v>12898004.66</v>
      </c>
      <c r="F42">
        <v>11837574.800000001</v>
      </c>
      <c r="G42">
        <v>16976530.050000001</v>
      </c>
      <c r="H42">
        <v>16659527.779999999</v>
      </c>
      <c r="I42">
        <v>18479433.949999999</v>
      </c>
      <c r="J42">
        <f>I42/H42-1</f>
        <v>0.10924116181641264</v>
      </c>
      <c r="K42">
        <f>I42/B42-1</f>
        <v>2.4315553254997795</v>
      </c>
    </row>
    <row r="43" spans="1:11">
      <c r="A43" s="2" t="s">
        <v>38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39"/>
      <c r="I43" s="39"/>
      <c r="J43"/>
      <c r="K43"/>
    </row>
    <row r="44" spans="1:11">
      <c r="A44" s="2" t="s">
        <v>39</v>
      </c>
      <c r="B44">
        <v>11525244.42</v>
      </c>
      <c r="C44">
        <v>13113840.77</v>
      </c>
      <c r="D44">
        <v>13010785.67</v>
      </c>
      <c r="E44">
        <v>16075920.5</v>
      </c>
      <c r="F44">
        <v>13800975.310000001</v>
      </c>
      <c r="G44">
        <v>18018044.629999999</v>
      </c>
      <c r="H44">
        <v>16808522</v>
      </c>
      <c r="I44">
        <v>25843591.829999998</v>
      </c>
      <c r="J44">
        <f>I44/H44-1</f>
        <v>0.53752910755627403</v>
      </c>
      <c r="K44">
        <f>I44/B44-1</f>
        <v>1.2423465297753746</v>
      </c>
    </row>
    <row r="45" spans="1:11">
      <c r="A45" s="2" t="s">
        <v>29</v>
      </c>
      <c r="B45">
        <v>153906.01999999999</v>
      </c>
      <c r="C45">
        <v>113407.79</v>
      </c>
      <c r="D45">
        <v>0</v>
      </c>
      <c r="E45">
        <f>E32</f>
        <v>5848921.4800000004</v>
      </c>
      <c r="F45">
        <f>1546060.04+1170539.25+934700.32+94415.87+315579.71</f>
        <v>4061295.19</v>
      </c>
      <c r="G45">
        <f>1405118.64+2600608.63+1259053.34+1277987.69+248423.42</f>
        <v>6791191.7199999988</v>
      </c>
      <c r="H45">
        <v>10652372.84</v>
      </c>
      <c r="I45">
        <v>3086614.83</v>
      </c>
      <c r="J45">
        <f>I45/H45-1</f>
        <v>-0.71024156998995913</v>
      </c>
      <c r="K45">
        <f>I45/B45-1</f>
        <v>19.055192318013294</v>
      </c>
    </row>
    <row r="46" spans="1:11">
      <c r="A46" s="101" t="s">
        <v>40</v>
      </c>
      <c r="B46">
        <f>SUM(B38:B44)</f>
        <v>78275517.819999993</v>
      </c>
      <c r="C46">
        <f>SUM(C38:C45)</f>
        <v>81693032.030000001</v>
      </c>
      <c r="D46">
        <f t="shared" ref="D46:G46" si="7">SUM(D38:D45)</f>
        <v>82533574.310000002</v>
      </c>
      <c r="E46">
        <f t="shared" si="7"/>
        <v>139801247.03</v>
      </c>
      <c r="F46">
        <f>SUM(F38:F45)</f>
        <v>129277812.16</v>
      </c>
      <c r="G46">
        <f t="shared" si="7"/>
        <v>155491595.19999999</v>
      </c>
      <c r="H46" s="110">
        <f>SUM(H38:H44)</f>
        <v>158704014.54999998</v>
      </c>
      <c r="I46" s="110">
        <f>SUM(I38:I44)</f>
        <v>181948877.54999995</v>
      </c>
      <c r="J46">
        <f>I46/H46-1</f>
        <v>0.14646676119636926</v>
      </c>
      <c r="K46">
        <f>I46/B46-1</f>
        <v>1.3244672487303637</v>
      </c>
    </row>
    <row r="47" spans="1:11">
      <c r="B47" s="111"/>
      <c r="C47" s="111"/>
      <c r="E47" s="111"/>
      <c r="G47" s="111"/>
    </row>
    <row r="48" spans="1:11">
      <c r="A48" s="19" t="s">
        <v>41</v>
      </c>
      <c r="F48" s="111"/>
      <c r="G48" s="111"/>
    </row>
    <row r="49" spans="1:1">
      <c r="A49" s="14" t="s">
        <v>42</v>
      </c>
    </row>
    <row r="50" spans="1:1">
      <c r="A50" s="14" t="s">
        <v>43</v>
      </c>
    </row>
    <row r="51" spans="1:1">
      <c r="A51" s="19" t="s">
        <v>44</v>
      </c>
    </row>
    <row r="52" spans="1:1">
      <c r="A52" s="19" t="s">
        <v>45</v>
      </c>
    </row>
  </sheetData>
  <mergeCells count="3">
    <mergeCell ref="A2:K2"/>
    <mergeCell ref="A3:K3"/>
    <mergeCell ref="A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0" workbookViewId="0">
      <pane ySplit="1" topLeftCell="A2" activePane="bottomLeft" state="frozen"/>
      <selection pane="bottomLeft" activeCell="F16" sqref="F16"/>
    </sheetView>
  </sheetViews>
  <sheetFormatPr defaultColWidth="9.140625" defaultRowHeight="14.25"/>
  <cols>
    <col min="1" max="1" width="18.140625" style="18" customWidth="1"/>
    <col min="2" max="2" width="16.85546875" style="18" bestFit="1" customWidth="1"/>
    <col min="3" max="4" width="18.5703125" style="18" customWidth="1"/>
    <col min="5" max="5" width="18.7109375" style="18" bestFit="1" customWidth="1"/>
    <col min="6" max="6" width="20.28515625" style="18" bestFit="1" customWidth="1"/>
    <col min="7" max="7" width="16.85546875" style="18" bestFit="1" customWidth="1"/>
    <col min="8" max="8" width="19.42578125" style="18" bestFit="1" customWidth="1"/>
    <col min="9" max="9" width="15.5703125" style="18" customWidth="1"/>
    <col min="10" max="16384" width="9.140625" style="18"/>
  </cols>
  <sheetData>
    <row r="1" spans="1:9">
      <c r="A1" s="33"/>
      <c r="B1" s="33"/>
      <c r="C1" s="33"/>
      <c r="D1" s="33"/>
      <c r="E1" s="33"/>
      <c r="F1" s="33"/>
      <c r="G1" s="33"/>
      <c r="H1" s="33"/>
      <c r="I1" s="33"/>
    </row>
    <row r="2" spans="1:9" ht="15">
      <c r="A2" s="128" t="s">
        <v>46</v>
      </c>
      <c r="B2" s="128"/>
      <c r="C2" s="128"/>
      <c r="D2" s="128"/>
      <c r="E2" s="128"/>
      <c r="F2" s="128"/>
      <c r="G2" s="128"/>
      <c r="H2" s="128"/>
      <c r="I2" s="128"/>
    </row>
    <row r="3" spans="1:9" ht="15">
      <c r="A3" s="128" t="s">
        <v>47</v>
      </c>
      <c r="B3" s="128"/>
      <c r="C3" s="128"/>
      <c r="D3" s="128"/>
      <c r="E3" s="128"/>
      <c r="F3" s="128"/>
      <c r="G3" s="128"/>
      <c r="H3" s="128"/>
      <c r="I3" s="128"/>
    </row>
    <row r="4" spans="1:9" ht="15">
      <c r="C4" s="129"/>
      <c r="D4" s="129"/>
      <c r="E4" s="130"/>
      <c r="F4" s="130"/>
      <c r="G4" s="130"/>
      <c r="H4" s="104"/>
    </row>
    <row r="5" spans="1:9" ht="45">
      <c r="A5" s="32" t="s">
        <v>48</v>
      </c>
      <c r="B5" s="30" t="s">
        <v>49</v>
      </c>
      <c r="C5" s="30" t="s">
        <v>50</v>
      </c>
      <c r="D5" s="31" t="s">
        <v>51</v>
      </c>
      <c r="E5" s="30" t="s">
        <v>52</v>
      </c>
      <c r="F5" s="29" t="s">
        <v>53</v>
      </c>
      <c r="G5" s="29" t="s">
        <v>54</v>
      </c>
      <c r="H5" s="29" t="s">
        <v>55</v>
      </c>
      <c r="I5" s="28" t="s">
        <v>56</v>
      </c>
    </row>
    <row r="6" spans="1:9" ht="15">
      <c r="A6" s="21">
        <v>2009</v>
      </c>
      <c r="B6">
        <v>251660760.13999999</v>
      </c>
      <c r="C6" s="112">
        <v>48793972.200000003</v>
      </c>
      <c r="D6" s="26">
        <f>C6/B6</f>
        <v>0.19388788372432675</v>
      </c>
      <c r="E6">
        <v>28640733.579999998</v>
      </c>
      <c r="F6">
        <v>78429423.840000004</v>
      </c>
      <c r="G6">
        <v>51880932.25</v>
      </c>
      <c r="H6">
        <f t="shared" ref="H6:H13" si="0">G6/F6</f>
        <v>0.66149832180126333</v>
      </c>
      <c r="I6">
        <f t="shared" ref="I6:I13" si="1">G6/C6</f>
        <v>1.0632651926214771</v>
      </c>
    </row>
    <row r="7" spans="1:9" ht="15">
      <c r="A7" s="20">
        <v>2010</v>
      </c>
      <c r="B7">
        <v>284549906.07999998</v>
      </c>
      <c r="C7" s="113">
        <v>50004701.130000003</v>
      </c>
      <c r="D7" s="27">
        <v>0.1757</v>
      </c>
      <c r="E7">
        <v>31473256.420000002</v>
      </c>
      <c r="F7">
        <v>81693032.030000001</v>
      </c>
      <c r="G7">
        <v>56234551.359999999</v>
      </c>
      <c r="H7">
        <f t="shared" si="0"/>
        <v>0.68836411089931238</v>
      </c>
      <c r="I7">
        <f t="shared" si="1"/>
        <v>1.1245852907670402</v>
      </c>
    </row>
    <row r="8" spans="1:9" ht="15">
      <c r="A8" s="21">
        <v>2011</v>
      </c>
      <c r="B8">
        <v>288530538.23000002</v>
      </c>
      <c r="C8" s="112">
        <f>46327236.19</f>
        <v>46327236.189999998</v>
      </c>
      <c r="D8" s="26">
        <v>0.16059999999999999</v>
      </c>
      <c r="E8">
        <v>35726342.229999997</v>
      </c>
      <c r="F8">
        <v>82533574.310000002</v>
      </c>
      <c r="G8">
        <v>52581761.079999998</v>
      </c>
      <c r="H8">
        <f t="shared" si="0"/>
        <v>0.63709540656146091</v>
      </c>
      <c r="I8">
        <f t="shared" si="1"/>
        <v>1.1350075118737619</v>
      </c>
    </row>
    <row r="9" spans="1:9" ht="15">
      <c r="A9" s="20">
        <v>2012</v>
      </c>
      <c r="B9">
        <v>394101946.95999998</v>
      </c>
      <c r="C9" s="113">
        <v>81341634.260000005</v>
      </c>
      <c r="D9" s="27">
        <v>0.20530000000000001</v>
      </c>
      <c r="E9">
        <v>56980794.280000001</v>
      </c>
      <c r="F9">
        <v>139810247.03</v>
      </c>
      <c r="G9">
        <v>86278690.099999994</v>
      </c>
      <c r="H9">
        <f t="shared" si="0"/>
        <v>0.61711277916193519</v>
      </c>
      <c r="I9">
        <f t="shared" si="1"/>
        <v>1.0606953116311777</v>
      </c>
    </row>
    <row r="10" spans="1:9" ht="15">
      <c r="A10" s="21">
        <v>2013</v>
      </c>
      <c r="B10">
        <v>419139423.98000002</v>
      </c>
      <c r="C10" s="112">
        <v>73310580.069999993</v>
      </c>
      <c r="D10" s="26">
        <v>0.1749</v>
      </c>
      <c r="E10">
        <v>52525216.359999999</v>
      </c>
      <c r="F10">
        <v>129367812.16</v>
      </c>
      <c r="G10">
        <v>90795965.780000001</v>
      </c>
      <c r="H10">
        <f t="shared" si="0"/>
        <v>0.7018435595687823</v>
      </c>
      <c r="I10">
        <f t="shared" si="1"/>
        <v>1.2385110811195905</v>
      </c>
    </row>
    <row r="11" spans="1:9" ht="15">
      <c r="A11" s="20">
        <v>2014</v>
      </c>
      <c r="B11">
        <v>516083848.44999999</v>
      </c>
      <c r="C11" s="113">
        <v>83759027.640000001</v>
      </c>
      <c r="D11" s="27">
        <v>0.1623</v>
      </c>
      <c r="E11">
        <v>62147153.909999996</v>
      </c>
      <c r="F11">
        <v>155491595.19999999</v>
      </c>
      <c r="G11">
        <v>102180175.81</v>
      </c>
      <c r="H11">
        <f t="shared" si="0"/>
        <v>0.65714275860744409</v>
      </c>
      <c r="I11">
        <f t="shared" si="1"/>
        <v>1.2199303011154201</v>
      </c>
    </row>
    <row r="12" spans="1:9" ht="15">
      <c r="A12" s="21">
        <v>2015</v>
      </c>
      <c r="B12">
        <v>541514320.19000006</v>
      </c>
      <c r="C12">
        <v>85346249.530000001</v>
      </c>
      <c r="D12" s="26">
        <f>C12/B12</f>
        <v>0.15760663448393153</v>
      </c>
      <c r="E12">
        <v>67154606.349999994</v>
      </c>
      <c r="F12">
        <v>158704014.55000001</v>
      </c>
      <c r="G12">
        <v>104624490.76000001</v>
      </c>
      <c r="H12">
        <f t="shared" si="0"/>
        <v>0.65924287458423336</v>
      </c>
      <c r="I12">
        <f t="shared" si="1"/>
        <v>1.2258826994292646</v>
      </c>
    </row>
    <row r="13" spans="1:9" ht="15">
      <c r="A13" s="74">
        <v>2016</v>
      </c>
      <c r="B13">
        <v>581514710.82000005</v>
      </c>
      <c r="C13">
        <v>88969483.590000004</v>
      </c>
      <c r="D13" s="26">
        <f>C13/B13</f>
        <v>0.15299610127582705</v>
      </c>
      <c r="E13">
        <v>75720020.780000001</v>
      </c>
      <c r="F13">
        <v>185035492.38</v>
      </c>
      <c r="G13">
        <v>123949021.55</v>
      </c>
      <c r="H13">
        <f t="shared" si="0"/>
        <v>0.66986619678051196</v>
      </c>
      <c r="I13">
        <f t="shared" si="1"/>
        <v>1.3931633246428288</v>
      </c>
    </row>
    <row r="14" spans="1:9" s="22" customFormat="1" ht="15">
      <c r="A14" s="25" t="s">
        <v>57</v>
      </c>
      <c r="B14">
        <f>B13/B6-1</f>
        <v>1.3107087115865852</v>
      </c>
      <c r="C14">
        <f>C13/C6-1</f>
        <v>0.82337037913875766</v>
      </c>
      <c r="D14"/>
      <c r="E14">
        <f>E13/E6-1</f>
        <v>1.6437877566402754</v>
      </c>
      <c r="F14">
        <f>F12/F6-1</f>
        <v>1.0235264621319193</v>
      </c>
      <c r="G14">
        <f>G12/G6-1</f>
        <v>1.0166270385397711</v>
      </c>
      <c r="H14"/>
      <c r="I14"/>
    </row>
    <row r="15" spans="1:9" s="22" customFormat="1" ht="15">
      <c r="A15" s="24"/>
      <c r="B15"/>
      <c r="C15"/>
      <c r="D15" s="23"/>
      <c r="E15" s="114"/>
      <c r="F15"/>
      <c r="G15"/>
      <c r="H15"/>
    </row>
    <row r="16" spans="1:9" s="22" customFormat="1" ht="15">
      <c r="A16" s="24"/>
      <c r="B16"/>
      <c r="C16" s="23"/>
      <c r="D16" s="23"/>
      <c r="E16" s="114"/>
      <c r="F16"/>
      <c r="G16"/>
      <c r="H16"/>
    </row>
    <row r="18" spans="1:8" ht="15.75" customHeight="1">
      <c r="C18" s="131" t="s">
        <v>58</v>
      </c>
      <c r="D18" s="132"/>
      <c r="E18" s="132"/>
      <c r="F18" s="132"/>
      <c r="G18" s="133" t="s">
        <v>59</v>
      </c>
      <c r="H18" s="135" t="s">
        <v>60</v>
      </c>
    </row>
    <row r="19" spans="1:8" ht="15">
      <c r="C19" s="102"/>
      <c r="D19" t="s">
        <v>61</v>
      </c>
      <c r="E19" s="99" t="s">
        <v>62</v>
      </c>
      <c r="F19" s="99" t="s">
        <v>63</v>
      </c>
      <c r="G19" s="134"/>
      <c r="H19" s="136"/>
    </row>
    <row r="20" spans="1:8" ht="15">
      <c r="C20" s="70">
        <v>2009</v>
      </c>
      <c r="D20">
        <v>514665446</v>
      </c>
      <c r="E20">
        <v>417424123.02999997</v>
      </c>
      <c r="F20">
        <f t="shared" ref="F20:F27" si="2">E20/D20</f>
        <v>0.81105915750559243</v>
      </c>
      <c r="G20" s="115">
        <v>27591030.699999999</v>
      </c>
      <c r="H20">
        <f t="shared" ref="H20:H26" si="3">E6/G20-1</f>
        <v>3.8045076728503657E-2</v>
      </c>
    </row>
    <row r="21" spans="1:8" ht="15">
      <c r="C21" s="71">
        <v>2010</v>
      </c>
      <c r="D21">
        <v>516924200</v>
      </c>
      <c r="E21">
        <v>449532522.13</v>
      </c>
      <c r="F21">
        <f t="shared" si="2"/>
        <v>0.8696294778422059</v>
      </c>
      <c r="G21" s="116">
        <v>31922827.27</v>
      </c>
      <c r="H21">
        <f t="shared" si="3"/>
        <v>-1.4083052425074238E-2</v>
      </c>
    </row>
    <row r="22" spans="1:8" ht="15">
      <c r="C22" s="70">
        <v>2011</v>
      </c>
      <c r="D22">
        <v>579464300</v>
      </c>
      <c r="E22">
        <v>440761935.95999998</v>
      </c>
      <c r="F22">
        <f t="shared" si="2"/>
        <v>0.76063691233437503</v>
      </c>
      <c r="G22" s="115">
        <v>51365318.299999997</v>
      </c>
      <c r="H22">
        <f t="shared" si="3"/>
        <v>-0.30446567037042971</v>
      </c>
    </row>
    <row r="23" spans="1:8" ht="15">
      <c r="C23" s="71">
        <v>2012</v>
      </c>
      <c r="D23">
        <v>774438015.83000004</v>
      </c>
      <c r="E23">
        <v>651723594.39999998</v>
      </c>
      <c r="F23">
        <f t="shared" si="2"/>
        <v>0.84154390807057489</v>
      </c>
      <c r="G23" s="116">
        <v>58327589.859999999</v>
      </c>
      <c r="H23">
        <f t="shared" si="3"/>
        <v>-2.3090197678879321E-2</v>
      </c>
    </row>
    <row r="24" spans="1:8" ht="15">
      <c r="C24" s="70">
        <v>2013</v>
      </c>
      <c r="D24">
        <v>764350680</v>
      </c>
      <c r="E24">
        <v>668947915.54999995</v>
      </c>
      <c r="F24">
        <f t="shared" si="2"/>
        <v>0.87518456260155342</v>
      </c>
      <c r="G24" s="115">
        <v>60720651.990000002</v>
      </c>
      <c r="H24">
        <f t="shared" si="3"/>
        <v>-0.13496949326811736</v>
      </c>
    </row>
    <row r="25" spans="1:8" ht="15">
      <c r="C25" s="71">
        <v>2014</v>
      </c>
      <c r="D25">
        <v>940366750</v>
      </c>
      <c r="E25">
        <v>836963020.21000004</v>
      </c>
      <c r="F25">
        <f t="shared" si="2"/>
        <v>0.89003893450082117</v>
      </c>
      <c r="G25" s="116">
        <v>62895895.200000003</v>
      </c>
      <c r="H25">
        <f t="shared" si="3"/>
        <v>-1.1904453980965179E-2</v>
      </c>
    </row>
    <row r="26" spans="1:8" ht="15">
      <c r="C26" s="70">
        <v>2015</v>
      </c>
      <c r="D26">
        <v>1182837435</v>
      </c>
      <c r="E26">
        <v>818143350.62</v>
      </c>
      <c r="F26">
        <f t="shared" si="2"/>
        <v>0.69167860807516635</v>
      </c>
      <c r="G26">
        <v>69100837.409999996</v>
      </c>
      <c r="H26">
        <f t="shared" si="3"/>
        <v>-2.8165086458392885E-2</v>
      </c>
    </row>
    <row r="27" spans="1:8" ht="15">
      <c r="C27" s="94">
        <v>2016</v>
      </c>
      <c r="D27">
        <v>1195438921.02</v>
      </c>
      <c r="E27">
        <v>896000429.75</v>
      </c>
      <c r="F27">
        <f t="shared" si="2"/>
        <v>0.74951585898298667</v>
      </c>
      <c r="G27" s="117">
        <f>[1]Plan3!$B$11</f>
        <v>74933564.439999998</v>
      </c>
      <c r="H27">
        <f>E13/G27</f>
        <v>1.0104953814205613</v>
      </c>
    </row>
    <row r="29" spans="1:8">
      <c r="A29" s="19" t="s">
        <v>41</v>
      </c>
    </row>
    <row r="30" spans="1:8">
      <c r="A30" s="14" t="s">
        <v>42</v>
      </c>
    </row>
    <row r="31" spans="1:8">
      <c r="A31" s="14" t="s">
        <v>43</v>
      </c>
    </row>
    <row r="32" spans="1:8">
      <c r="A32" s="19" t="s">
        <v>44</v>
      </c>
    </row>
    <row r="33" spans="1:1">
      <c r="A33" s="19" t="s">
        <v>45</v>
      </c>
    </row>
  </sheetData>
  <mergeCells count="6">
    <mergeCell ref="C4:G4"/>
    <mergeCell ref="A3:I3"/>
    <mergeCell ref="A2:I2"/>
    <mergeCell ref="C18:F18"/>
    <mergeCell ref="G18:G19"/>
    <mergeCell ref="H18:H19"/>
  </mergeCells>
  <pageMargins left="1.1100000000000001" right="0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4"/>
  <sheetViews>
    <sheetView workbookViewId="0"/>
  </sheetViews>
  <sheetFormatPr defaultRowHeight="12"/>
  <cols>
    <col min="1" max="1" width="39.140625" style="19" customWidth="1"/>
    <col min="2" max="3" width="12" style="19" customWidth="1"/>
    <col min="4" max="4" width="8.7109375" style="19" customWidth="1"/>
    <col min="5" max="6" width="12" style="19" customWidth="1"/>
    <col min="7" max="7" width="12.28515625" style="19" customWidth="1"/>
    <col min="8" max="8" width="8.7109375" style="19" customWidth="1"/>
    <col min="9" max="9" width="12" style="19" customWidth="1"/>
    <col min="10" max="10" width="13.5703125" style="19" customWidth="1"/>
    <col min="11" max="11" width="12" style="19" customWidth="1"/>
    <col min="12" max="12" width="10" style="19" customWidth="1"/>
    <col min="13" max="14" width="12" style="19" bestFit="1" customWidth="1"/>
    <col min="15" max="15" width="9.5703125" style="19" bestFit="1" customWidth="1"/>
    <col min="16" max="17" width="12" style="19" bestFit="1" customWidth="1"/>
    <col min="18" max="18" width="10.28515625" style="19" customWidth="1"/>
    <col min="19" max="19" width="12.7109375" style="19" customWidth="1"/>
    <col min="20" max="16384" width="9.140625" style="19"/>
  </cols>
  <sheetData>
    <row r="2" spans="1:19" ht="1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5.75">
      <c r="A3" s="137" t="s">
        <v>64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5.75">
      <c r="A4" s="138" t="s">
        <v>65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>
      <c r="A5" s="77" t="s">
        <v>66</v>
      </c>
      <c r="B5" s="139">
        <v>2012</v>
      </c>
      <c r="C5" s="139"/>
      <c r="D5" s="139"/>
      <c r="E5" s="139">
        <v>2013</v>
      </c>
      <c r="F5" s="139"/>
      <c r="G5" s="139"/>
      <c r="H5" s="139"/>
      <c r="I5" s="139">
        <v>2014</v>
      </c>
      <c r="J5" s="139"/>
      <c r="K5" s="139"/>
      <c r="L5" s="139"/>
      <c r="M5" s="139">
        <v>2015</v>
      </c>
      <c r="N5" s="139"/>
      <c r="O5" s="139"/>
      <c r="P5" s="139">
        <v>2016</v>
      </c>
      <c r="Q5" s="139"/>
      <c r="R5" s="139"/>
      <c r="S5" s="78"/>
    </row>
    <row r="6" spans="1:19" s="64" customFormat="1" ht="30" customHeight="1">
      <c r="A6" s="69" t="s">
        <v>67</v>
      </c>
      <c r="B6" s="65" t="s">
        <v>68</v>
      </c>
      <c r="C6" s="65" t="s">
        <v>69</v>
      </c>
      <c r="D6" s="66" t="s">
        <v>70</v>
      </c>
      <c r="E6" s="65" t="s">
        <v>68</v>
      </c>
      <c r="F6" s="65" t="s">
        <v>69</v>
      </c>
      <c r="G6" s="67" t="s">
        <v>71</v>
      </c>
      <c r="H6" s="66" t="s">
        <v>70</v>
      </c>
      <c r="I6" s="68" t="s">
        <v>68</v>
      </c>
      <c r="J6" s="65" t="s">
        <v>69</v>
      </c>
      <c r="K6" s="67" t="s">
        <v>72</v>
      </c>
      <c r="L6" s="66" t="s">
        <v>70</v>
      </c>
      <c r="M6" s="65" t="s">
        <v>68</v>
      </c>
      <c r="N6" s="65" t="s">
        <v>69</v>
      </c>
      <c r="O6" s="67" t="s">
        <v>73</v>
      </c>
      <c r="P6" s="65" t="s">
        <v>68</v>
      </c>
      <c r="Q6" s="65" t="s">
        <v>69</v>
      </c>
      <c r="R6" s="67" t="s">
        <v>73</v>
      </c>
      <c r="S6" s="79" t="s">
        <v>74</v>
      </c>
    </row>
    <row r="7" spans="1:19" ht="15">
      <c r="A7" s="63" t="s">
        <v>75</v>
      </c>
      <c r="B7" s="54">
        <v>96000</v>
      </c>
      <c r="C7" s="54">
        <v>88680</v>
      </c>
      <c r="D7">
        <f>C7/C$34</f>
        <v>6.7066943964077304E-4</v>
      </c>
      <c r="E7" s="54">
        <v>82400</v>
      </c>
      <c r="F7" s="54">
        <v>22400</v>
      </c>
      <c r="G7">
        <f>F7/C7-1</f>
        <v>-0.74740640505187184</v>
      </c>
      <c r="H7">
        <f>F7/F$34</f>
        <v>1.803516067760836E-4</v>
      </c>
      <c r="I7" s="54">
        <v>1823000</v>
      </c>
      <c r="J7" s="54">
        <v>1763800</v>
      </c>
      <c r="K7">
        <f t="shared" ref="K7:K36" si="0">J7/I7-1</f>
        <v>-3.2473944048272085E-2</v>
      </c>
      <c r="L7">
        <f>J7/J$34</f>
        <v>1.1873199267865146E-2</v>
      </c>
      <c r="M7" s="53">
        <v>2964188</v>
      </c>
      <c r="N7" s="53">
        <v>1861320</v>
      </c>
      <c r="O7">
        <f>N7/$N$34</f>
        <v>1.859987330981271E-2</v>
      </c>
      <c r="P7" s="80">
        <v>9767296.6500000004</v>
      </c>
      <c r="Q7" s="80">
        <v>9767296.6500000004</v>
      </c>
      <c r="R7">
        <f>Q7/Q$34</f>
        <v>5.3239953207303882E-2</v>
      </c>
      <c r="S7">
        <f>Q7/N7-1</f>
        <v>4.2475107181999876</v>
      </c>
    </row>
    <row r="8" spans="1:19" ht="15">
      <c r="A8" s="59" t="s">
        <v>76</v>
      </c>
      <c r="B8" s="51">
        <v>0</v>
      </c>
      <c r="C8" s="51">
        <v>0</v>
      </c>
      <c r="D8">
        <v>0</v>
      </c>
      <c r="E8" s="51">
        <v>0</v>
      </c>
      <c r="F8" s="51">
        <v>0</v>
      </c>
      <c r="G8">
        <v>0</v>
      </c>
      <c r="H8">
        <v>0</v>
      </c>
      <c r="I8" s="51">
        <f>'[2]Anexo 11 A (2)'!$I$15</f>
        <v>284000</v>
      </c>
      <c r="J8" s="51">
        <v>279000</v>
      </c>
      <c r="K8">
        <f t="shared" si="0"/>
        <v>-1.7605633802816878E-2</v>
      </c>
      <c r="L8">
        <f>J8/J$34</f>
        <v>1.8781169042603333E-3</v>
      </c>
      <c r="M8" s="51">
        <v>1200000</v>
      </c>
      <c r="N8" s="51">
        <v>0</v>
      </c>
      <c r="O8">
        <f t="shared" ref="O8:O36" si="1">N8/$N$34</f>
        <v>0</v>
      </c>
      <c r="P8" s="81">
        <v>5800316.4900000002</v>
      </c>
      <c r="Q8" s="81">
        <v>5800316.4900000002</v>
      </c>
      <c r="R8">
        <f t="shared" ref="R8:R36" si="2">Q8/Q$34</f>
        <v>3.1616586408804638E-2</v>
      </c>
      <c r="S8">
        <v>1</v>
      </c>
    </row>
    <row r="9" spans="1:19" ht="15">
      <c r="A9" s="50" t="s">
        <v>77</v>
      </c>
      <c r="B9" s="57">
        <v>2472975</v>
      </c>
      <c r="C9" s="57">
        <v>2243754.2000000002</v>
      </c>
      <c r="D9">
        <f t="shared" ref="D9:D36" si="3">C9/C$34</f>
        <v>1.6969072756040045E-2</v>
      </c>
      <c r="E9" s="57">
        <v>2203635</v>
      </c>
      <c r="F9" s="57">
        <v>2203579.5099999998</v>
      </c>
      <c r="G9">
        <f t="shared" ref="G9:G36" si="4">F9/C9-1</f>
        <v>-1.7905120801556818E-2</v>
      </c>
      <c r="H9">
        <f t="shared" ref="H9:H36" si="5">F9/F$34</f>
        <v>1.7741924343185486E-2</v>
      </c>
      <c r="I9" s="57">
        <v>2717005.71</v>
      </c>
      <c r="J9" s="57">
        <v>2712714.95</v>
      </c>
      <c r="K9">
        <f t="shared" si="0"/>
        <v>-1.5792237698314393E-3</v>
      </c>
      <c r="L9">
        <f t="shared" ref="L9:L36" si="6">J9/J$34</f>
        <v>1.8260916860339517E-2</v>
      </c>
      <c r="M9" s="48">
        <v>2926751</v>
      </c>
      <c r="N9" s="48">
        <v>2477108.3199999998</v>
      </c>
      <c r="O9">
        <f t="shared" si="1"/>
        <v>2.4753347584876864E-2</v>
      </c>
      <c r="P9" s="82">
        <v>3320962.84</v>
      </c>
      <c r="Q9" s="82">
        <v>3320962.84</v>
      </c>
      <c r="R9">
        <f t="shared" si="2"/>
        <v>1.8102030944744059E-2</v>
      </c>
      <c r="S9">
        <f t="shared" ref="S9:S36" si="7">Q9/N9-1</f>
        <v>0.34066113023269007</v>
      </c>
    </row>
    <row r="10" spans="1:19" ht="15">
      <c r="A10" s="59" t="s">
        <v>78</v>
      </c>
      <c r="B10" s="51">
        <v>309822.70999999996</v>
      </c>
      <c r="C10" s="51">
        <v>291347.34999999998</v>
      </c>
      <c r="D10">
        <f t="shared" si="3"/>
        <v>2.2034028412869209E-3</v>
      </c>
      <c r="E10" s="51">
        <v>1627078.6199999999</v>
      </c>
      <c r="F10" s="51">
        <v>1623683.6600000001</v>
      </c>
      <c r="G10">
        <f t="shared" si="4"/>
        <v>4.5730167444461065</v>
      </c>
      <c r="H10">
        <f t="shared" si="5"/>
        <v>1.3072944507905009E-2</v>
      </c>
      <c r="I10" s="51">
        <f>'[2]Anexo 11 A (2)'!$I$37</f>
        <v>1631056.47</v>
      </c>
      <c r="J10" s="51">
        <v>1629412.08</v>
      </c>
      <c r="K10">
        <v>0</v>
      </c>
      <c r="L10">
        <f t="shared" si="6"/>
        <v>1.0968553302702475E-2</v>
      </c>
      <c r="M10" s="51">
        <v>1434001</v>
      </c>
      <c r="N10" s="51">
        <v>1218692.82</v>
      </c>
      <c r="O10">
        <f t="shared" si="1"/>
        <v>1.2178202595780622E-2</v>
      </c>
      <c r="P10" s="81">
        <v>1867738.28</v>
      </c>
      <c r="Q10" s="81">
        <v>1867738.28</v>
      </c>
      <c r="R10">
        <f t="shared" si="2"/>
        <v>1.0180739071817813E-2</v>
      </c>
      <c r="S10">
        <f t="shared" si="7"/>
        <v>0.53257510781100681</v>
      </c>
    </row>
    <row r="11" spans="1:19" s="52" customFormat="1" ht="15">
      <c r="A11" s="62" t="s">
        <v>79</v>
      </c>
      <c r="B11" s="54">
        <v>26555015.789999999</v>
      </c>
      <c r="C11" s="54">
        <v>25710635.27</v>
      </c>
      <c r="D11">
        <f t="shared" si="3"/>
        <v>0.19444448973093365</v>
      </c>
      <c r="E11" s="54">
        <v>30244194.890000001</v>
      </c>
      <c r="F11" s="54">
        <v>27314022.839999996</v>
      </c>
      <c r="G11">
        <f t="shared" si="4"/>
        <v>6.2362814188060112E-2</v>
      </c>
      <c r="H11">
        <f t="shared" si="5"/>
        <v>0.21991642440681453</v>
      </c>
      <c r="I11" s="54">
        <f>'[2]Anexo 11 A (2)'!$I$63</f>
        <v>26484860.719999999</v>
      </c>
      <c r="J11" s="54">
        <v>24442346.329999994</v>
      </c>
      <c r="K11">
        <f t="shared" si="0"/>
        <v>-7.7120072919907856E-2</v>
      </c>
      <c r="L11">
        <f t="shared" si="6"/>
        <v>0.16453614273175093</v>
      </c>
      <c r="M11" s="53">
        <v>21369594.079999998</v>
      </c>
      <c r="N11" s="53">
        <v>4817162.63</v>
      </c>
      <c r="O11">
        <f t="shared" si="1"/>
        <v>4.8137136349882988E-2</v>
      </c>
      <c r="P11" s="80">
        <v>2060094.55</v>
      </c>
      <c r="Q11" s="80">
        <v>2058317.23</v>
      </c>
      <c r="R11">
        <f t="shared" si="2"/>
        <v>1.1219554083164591E-2</v>
      </c>
      <c r="S11">
        <f t="shared" si="7"/>
        <v>-0.57271170020680828</v>
      </c>
    </row>
    <row r="12" spans="1:19" ht="15">
      <c r="A12" s="61" t="s">
        <v>80</v>
      </c>
      <c r="B12" s="51">
        <v>0</v>
      </c>
      <c r="C12" s="51">
        <v>0</v>
      </c>
      <c r="D12">
        <f t="shared" si="3"/>
        <v>0</v>
      </c>
      <c r="E12" s="51">
        <v>0</v>
      </c>
      <c r="F12" s="51">
        <v>0</v>
      </c>
      <c r="G12">
        <v>0</v>
      </c>
      <c r="H12">
        <f t="shared" si="5"/>
        <v>0</v>
      </c>
      <c r="I12" s="51">
        <f>'[2]Anexo 11 A (2)'!$I$65</f>
        <v>4350</v>
      </c>
      <c r="J12" s="51">
        <v>4321.32</v>
      </c>
      <c r="K12">
        <f t="shared" si="0"/>
        <v>-6.5931034482759054E-3</v>
      </c>
      <c r="L12">
        <f t="shared" si="6"/>
        <v>2.9089405522287681E-5</v>
      </c>
      <c r="M12" s="51">
        <v>0</v>
      </c>
      <c r="N12" s="51">
        <v>0</v>
      </c>
      <c r="O12">
        <f t="shared" si="1"/>
        <v>0</v>
      </c>
      <c r="P12" s="81">
        <v>0</v>
      </c>
      <c r="Q12" s="81">
        <v>0</v>
      </c>
      <c r="R12"/>
      <c r="S12"/>
    </row>
    <row r="13" spans="1:19" ht="15">
      <c r="A13" s="58" t="s">
        <v>81</v>
      </c>
      <c r="B13" s="57">
        <v>0</v>
      </c>
      <c r="C13" s="57">
        <v>0</v>
      </c>
      <c r="D13">
        <f t="shared" si="3"/>
        <v>0</v>
      </c>
      <c r="E13" s="57">
        <v>0</v>
      </c>
      <c r="F13" s="57">
        <v>0</v>
      </c>
      <c r="G13">
        <v>0</v>
      </c>
      <c r="H13">
        <f t="shared" si="5"/>
        <v>0</v>
      </c>
      <c r="I13" s="57">
        <v>0</v>
      </c>
      <c r="J13" s="57">
        <v>0</v>
      </c>
      <c r="K13">
        <v>0</v>
      </c>
      <c r="L13">
        <f t="shared" si="6"/>
        <v>0</v>
      </c>
      <c r="M13" s="48">
        <v>0</v>
      </c>
      <c r="N13" s="48">
        <v>0</v>
      </c>
      <c r="O13">
        <f t="shared" si="1"/>
        <v>0</v>
      </c>
      <c r="P13" s="82">
        <v>0</v>
      </c>
      <c r="Q13" s="82">
        <v>0</v>
      </c>
      <c r="R13"/>
      <c r="S13"/>
    </row>
    <row r="14" spans="1:19" ht="15">
      <c r="A14" s="59" t="s">
        <v>82</v>
      </c>
      <c r="B14" s="51">
        <v>1310689.74</v>
      </c>
      <c r="C14" s="51">
        <v>1218945.4099999999</v>
      </c>
      <c r="D14">
        <f t="shared" si="3"/>
        <v>9.2186449602773141E-3</v>
      </c>
      <c r="E14" s="51">
        <v>2251242.62</v>
      </c>
      <c r="F14" s="51">
        <v>1155941.19</v>
      </c>
      <c r="G14">
        <f t="shared" si="4"/>
        <v>-5.1687482870951484E-2</v>
      </c>
      <c r="H14">
        <f t="shared" si="5"/>
        <v>9.3069576319267013E-3</v>
      </c>
      <c r="I14" s="51">
        <f>'[2]Anexo 11 A (2)'!$I$127</f>
        <v>3838284.94</v>
      </c>
      <c r="J14" s="51">
        <v>3010712.7199999997</v>
      </c>
      <c r="K14">
        <f t="shared" si="0"/>
        <v>-0.21560989685148291</v>
      </c>
      <c r="L14">
        <f t="shared" si="6"/>
        <v>2.0266919187468126E-2</v>
      </c>
      <c r="M14" s="51">
        <v>2184055.7799999998</v>
      </c>
      <c r="N14" s="51">
        <v>1727392.86</v>
      </c>
      <c r="O14">
        <f t="shared" si="1"/>
        <v>1.7261560802159247E-2</v>
      </c>
      <c r="P14" s="81">
        <v>6387582.04</v>
      </c>
      <c r="Q14" s="81">
        <v>6387582.04</v>
      </c>
      <c r="R14">
        <f t="shared" si="2"/>
        <v>3.481767587323302E-2</v>
      </c>
      <c r="S14">
        <f t="shared" si="7"/>
        <v>2.6978166275389142</v>
      </c>
    </row>
    <row r="15" spans="1:19" ht="15">
      <c r="A15" s="50" t="s">
        <v>83</v>
      </c>
      <c r="B15" s="57">
        <v>224420</v>
      </c>
      <c r="C15" s="57">
        <v>118032</v>
      </c>
      <c r="D15">
        <f t="shared" si="3"/>
        <v>8.926528563337813E-4</v>
      </c>
      <c r="E15" s="57">
        <v>192054.24</v>
      </c>
      <c r="F15" s="57">
        <v>91554</v>
      </c>
      <c r="G15">
        <f t="shared" si="4"/>
        <v>-0.22432899552663688</v>
      </c>
      <c r="H15">
        <f t="shared" si="5"/>
        <v>7.3713888423114092E-4</v>
      </c>
      <c r="I15" s="57">
        <f>'[2]Anexo 11 A (2)'!$I$149</f>
        <v>786492</v>
      </c>
      <c r="J15" s="57">
        <v>157791</v>
      </c>
      <c r="K15">
        <f t="shared" si="0"/>
        <v>-0.79937367449382823</v>
      </c>
      <c r="L15">
        <f t="shared" si="6"/>
        <v>1.0621861807890403E-3</v>
      </c>
      <c r="M15" s="48">
        <v>661867.93000000005</v>
      </c>
      <c r="N15" s="48">
        <v>83964</v>
      </c>
      <c r="O15">
        <f t="shared" si="1"/>
        <v>8.3903883404525524E-4</v>
      </c>
      <c r="P15" s="82">
        <v>61410</v>
      </c>
      <c r="Q15" s="82">
        <v>61410</v>
      </c>
      <c r="R15">
        <f t="shared" si="2"/>
        <v>3.3473597082367017E-4</v>
      </c>
      <c r="S15">
        <f t="shared" si="7"/>
        <v>-0.26861512076604255</v>
      </c>
    </row>
    <row r="16" spans="1:19" ht="15">
      <c r="A16" s="59" t="s">
        <v>84</v>
      </c>
      <c r="B16" s="51">
        <v>5837407.6500000004</v>
      </c>
      <c r="C16" s="51">
        <v>3418369.51</v>
      </c>
      <c r="D16">
        <f t="shared" si="3"/>
        <v>2.5852457868254439E-2</v>
      </c>
      <c r="E16" s="51">
        <v>5238586.4800000004</v>
      </c>
      <c r="F16" s="51">
        <v>1349723.5</v>
      </c>
      <c r="G16">
        <f t="shared" si="4"/>
        <v>-0.60515576328083975</v>
      </c>
      <c r="H16">
        <f t="shared" si="5"/>
        <v>1.086717865751961E-2</v>
      </c>
      <c r="I16" s="51">
        <f>'[2]Anexo 11 A (2)'!$I$220</f>
        <v>9691017.4399999995</v>
      </c>
      <c r="J16" s="51">
        <v>4051113.01</v>
      </c>
      <c r="K16">
        <f t="shared" si="0"/>
        <v>-0.5819723744094305</v>
      </c>
      <c r="L16">
        <f t="shared" si="6"/>
        <v>2.72704796600357E-2</v>
      </c>
      <c r="M16" s="51">
        <v>8732137.75</v>
      </c>
      <c r="N16" s="51">
        <v>3037408.63</v>
      </c>
      <c r="O16">
        <f t="shared" si="1"/>
        <v>3.0352339043330429E-2</v>
      </c>
      <c r="P16" s="81">
        <v>668757.88</v>
      </c>
      <c r="Q16" s="81">
        <v>597895.13</v>
      </c>
      <c r="R16">
        <f t="shared" si="2"/>
        <v>3.2590295846164222E-3</v>
      </c>
      <c r="S16">
        <f t="shared" si="7"/>
        <v>-0.80315617592750432</v>
      </c>
    </row>
    <row r="17" spans="1:19" ht="15">
      <c r="A17" s="50" t="s">
        <v>85</v>
      </c>
      <c r="B17" s="57">
        <v>571329.57000000007</v>
      </c>
      <c r="C17" s="57">
        <v>534987.14</v>
      </c>
      <c r="D17">
        <f t="shared" si="3"/>
        <v>4.0460027672397361E-3</v>
      </c>
      <c r="E17" s="57">
        <v>427071.35000000003</v>
      </c>
      <c r="F17" s="57">
        <v>400662.78</v>
      </c>
      <c r="G17">
        <f t="shared" si="4"/>
        <v>-0.25107960539014074</v>
      </c>
      <c r="H17">
        <f t="shared" si="5"/>
        <v>3.225900720909486E-3</v>
      </c>
      <c r="I17" s="57">
        <f>'[2]Anexo 11 A (2)'!$I$236</f>
        <v>636211.64</v>
      </c>
      <c r="J17" s="57">
        <v>621194.33000000007</v>
      </c>
      <c r="K17">
        <f t="shared" si="0"/>
        <v>-2.3604267913111321E-2</v>
      </c>
      <c r="L17">
        <f t="shared" si="6"/>
        <v>4.1816328745651324E-3</v>
      </c>
      <c r="M17" s="48">
        <v>473292.81</v>
      </c>
      <c r="N17" s="48">
        <v>341090.31</v>
      </c>
      <c r="O17">
        <f t="shared" si="1"/>
        <v>3.4084609595366427E-3</v>
      </c>
      <c r="P17" s="82">
        <v>759243.34</v>
      </c>
      <c r="Q17" s="82">
        <v>759243.34</v>
      </c>
      <c r="R17">
        <f t="shared" si="2"/>
        <v>4.1385125632031573E-3</v>
      </c>
      <c r="S17">
        <f t="shared" si="7"/>
        <v>1.2259305460773717</v>
      </c>
    </row>
    <row r="18" spans="1:19" s="52" customFormat="1" ht="15">
      <c r="A18" s="60" t="s">
        <v>86</v>
      </c>
      <c r="B18" s="47">
        <v>0</v>
      </c>
      <c r="C18" s="47">
        <v>0</v>
      </c>
      <c r="D18">
        <f t="shared" si="3"/>
        <v>0</v>
      </c>
      <c r="E18" s="47">
        <v>1029023.4000000001</v>
      </c>
      <c r="F18" s="47">
        <v>1018441.53</v>
      </c>
      <c r="G18">
        <v>1</v>
      </c>
      <c r="H18">
        <f t="shared" si="5"/>
        <v>8.1998913545978987E-3</v>
      </c>
      <c r="I18" s="47">
        <f>'[2]Anexo 11 A (2)'!$I$247</f>
        <v>1226614.78</v>
      </c>
      <c r="J18" s="47">
        <v>1220906.4700000002</v>
      </c>
      <c r="K18">
        <f t="shared" si="0"/>
        <v>-4.6537104338493229E-3</v>
      </c>
      <c r="L18">
        <f t="shared" si="6"/>
        <v>8.2186562000996846E-3</v>
      </c>
      <c r="M18" s="47">
        <f>1688473+5000</f>
        <v>1693473</v>
      </c>
      <c r="N18" s="47">
        <v>451635.25</v>
      </c>
      <c r="O18">
        <f t="shared" si="1"/>
        <v>4.5131188792070093E-3</v>
      </c>
      <c r="P18" s="83">
        <v>593543.67000000004</v>
      </c>
      <c r="Q18" s="83">
        <v>593543.67000000004</v>
      </c>
      <c r="R18">
        <f t="shared" si="2"/>
        <v>3.2353104804379437E-3</v>
      </c>
      <c r="S18">
        <f t="shared" si="7"/>
        <v>0.31421023934690662</v>
      </c>
    </row>
    <row r="19" spans="1:19" ht="15">
      <c r="A19" s="58" t="s">
        <v>87</v>
      </c>
      <c r="B19" s="57">
        <v>0</v>
      </c>
      <c r="C19" s="57">
        <v>0</v>
      </c>
      <c r="D19">
        <f t="shared" si="3"/>
        <v>0</v>
      </c>
      <c r="E19" s="57">
        <v>0</v>
      </c>
      <c r="F19" s="57">
        <v>0</v>
      </c>
      <c r="G19">
        <v>0</v>
      </c>
      <c r="H19">
        <f t="shared" si="5"/>
        <v>0</v>
      </c>
      <c r="I19" s="57">
        <v>0</v>
      </c>
      <c r="J19" s="57">
        <v>0</v>
      </c>
      <c r="K19">
        <v>0</v>
      </c>
      <c r="L19">
        <f t="shared" si="6"/>
        <v>0</v>
      </c>
      <c r="M19" s="48">
        <v>0</v>
      </c>
      <c r="N19" s="48">
        <v>0</v>
      </c>
      <c r="O19">
        <f t="shared" si="1"/>
        <v>0</v>
      </c>
      <c r="P19" s="82">
        <v>0</v>
      </c>
      <c r="Q19" s="82">
        <v>0</v>
      </c>
      <c r="R19"/>
      <c r="S19"/>
    </row>
    <row r="20" spans="1:19" ht="15">
      <c r="A20" s="59" t="s">
        <v>88</v>
      </c>
      <c r="B20" s="51">
        <v>9703619.0399999991</v>
      </c>
      <c r="C20" s="51">
        <v>7146949.3599999994</v>
      </c>
      <c r="D20">
        <f t="shared" si="3"/>
        <v>5.4050975669961449E-2</v>
      </c>
      <c r="E20" s="51">
        <v>6248881.4000000004</v>
      </c>
      <c r="F20" s="51">
        <v>3362623.37</v>
      </c>
      <c r="G20">
        <f t="shared" si="4"/>
        <v>-0.52950228123625598</v>
      </c>
      <c r="H20">
        <f t="shared" si="5"/>
        <v>2.7073862846531654E-2</v>
      </c>
      <c r="I20" s="51">
        <f>'[2]Anexo 11 A (2)'!$I$327</f>
        <v>12787918.120000001</v>
      </c>
      <c r="J20" s="51">
        <v>5685421.4700000007</v>
      </c>
      <c r="K20">
        <f t="shared" si="0"/>
        <v>-0.55540679752178457</v>
      </c>
      <c r="L20">
        <f t="shared" si="6"/>
        <v>3.8271993443195824E-2</v>
      </c>
      <c r="M20" s="51">
        <v>11412692.699999999</v>
      </c>
      <c r="N20" s="51">
        <v>2682968.11</v>
      </c>
      <c r="O20">
        <f t="shared" si="1"/>
        <v>2.6810471568708041E-2</v>
      </c>
      <c r="P20" s="81">
        <v>5189554.28</v>
      </c>
      <c r="Q20" s="81">
        <v>4771346.5399999991</v>
      </c>
      <c r="R20">
        <f t="shared" si="2"/>
        <v>2.6007837749602008E-2</v>
      </c>
      <c r="S20">
        <f t="shared" si="7"/>
        <v>0.77838362007217432</v>
      </c>
    </row>
    <row r="21" spans="1:19" ht="15">
      <c r="A21" s="50" t="s">
        <v>89</v>
      </c>
      <c r="B21" s="57">
        <v>4366877.26</v>
      </c>
      <c r="C21" s="57">
        <v>1051961.6099999999</v>
      </c>
      <c r="D21">
        <f t="shared" si="3"/>
        <v>7.9557792456281615E-3</v>
      </c>
      <c r="E21" s="57">
        <v>6376285.3899999997</v>
      </c>
      <c r="F21" s="57">
        <v>2296973.71</v>
      </c>
      <c r="G21">
        <f t="shared" si="4"/>
        <v>1.1835147672356601</v>
      </c>
      <c r="H21">
        <f t="shared" si="5"/>
        <v>1.8493879433969726E-2</v>
      </c>
      <c r="I21" s="57">
        <f>'[2]Anexo 11 A (2)'!$I$367</f>
        <v>6709005.9000000004</v>
      </c>
      <c r="J21" s="57">
        <v>3288531.6599999992</v>
      </c>
      <c r="K21">
        <f t="shared" si="0"/>
        <v>-0.50983324370008387</v>
      </c>
      <c r="L21">
        <f t="shared" si="6"/>
        <v>2.2137085666097824E-2</v>
      </c>
      <c r="M21" s="48">
        <v>10005051.65</v>
      </c>
      <c r="N21" s="48">
        <v>1873592.33</v>
      </c>
      <c r="O21">
        <f t="shared" si="1"/>
        <v>1.8722508742310195E-2</v>
      </c>
      <c r="P21" s="82">
        <v>3483467.65</v>
      </c>
      <c r="Q21" s="82">
        <v>3234463.8499999992</v>
      </c>
      <c r="R21">
        <f t="shared" si="2"/>
        <v>1.7630538950070274E-2</v>
      </c>
      <c r="S21">
        <f t="shared" si="7"/>
        <v>0.72634345167286152</v>
      </c>
    </row>
    <row r="22" spans="1:19" ht="15">
      <c r="A22" s="59" t="s">
        <v>90</v>
      </c>
      <c r="B22" s="51">
        <v>13695787.84</v>
      </c>
      <c r="C22" s="51">
        <v>8403495.1799999997</v>
      </c>
      <c r="D22">
        <f t="shared" si="3"/>
        <v>6.3553985153298798E-2</v>
      </c>
      <c r="E22" s="51">
        <v>7589184.6799999997</v>
      </c>
      <c r="F22" s="51">
        <v>2307322.02</v>
      </c>
      <c r="G22">
        <f t="shared" si="4"/>
        <v>-0.72543305248852419</v>
      </c>
      <c r="H22">
        <f t="shared" si="5"/>
        <v>1.8577197931108878E-2</v>
      </c>
      <c r="I22" s="51">
        <f>'[2]Anexo 11 A (2)'!$I$396</f>
        <v>8545750.0899999999</v>
      </c>
      <c r="J22" s="51">
        <v>1233878.6800000002</v>
      </c>
      <c r="K22">
        <f t="shared" si="0"/>
        <v>-0.85561493525959165</v>
      </c>
      <c r="L22">
        <f t="shared" si="6"/>
        <v>8.3059799523814582E-3</v>
      </c>
      <c r="M22" s="51">
        <v>13603996.85</v>
      </c>
      <c r="N22" s="51">
        <v>2202641.83</v>
      </c>
      <c r="O22">
        <f t="shared" si="1"/>
        <v>2.2010647811711061E-2</v>
      </c>
      <c r="P22" s="81">
        <v>3562905.74</v>
      </c>
      <c r="Q22" s="81">
        <v>3088228.09</v>
      </c>
      <c r="R22">
        <f t="shared" si="2"/>
        <v>1.6833431490491428E-2</v>
      </c>
      <c r="S22">
        <f t="shared" si="7"/>
        <v>0.40205640696472189</v>
      </c>
    </row>
    <row r="23" spans="1:19" s="52" customFormat="1" ht="15">
      <c r="A23" s="55" t="s">
        <v>91</v>
      </c>
      <c r="B23" s="54">
        <v>9988655.6899999995</v>
      </c>
      <c r="C23" s="54">
        <v>8751478.7400000021</v>
      </c>
      <c r="D23">
        <f t="shared" si="3"/>
        <v>6.6185716537933467E-2</v>
      </c>
      <c r="E23" s="54">
        <v>9926675.6600000001</v>
      </c>
      <c r="F23" s="54">
        <v>9414743.3499999996</v>
      </c>
      <c r="G23">
        <f t="shared" si="4"/>
        <v>7.5788861483310654E-2</v>
      </c>
      <c r="H23">
        <f t="shared" si="5"/>
        <v>7.5801968328435165E-2</v>
      </c>
      <c r="I23" s="54">
        <f>'[2]Anexo 11 A (2)'!$I$416</f>
        <v>10482911.24</v>
      </c>
      <c r="J23" s="54">
        <v>10444827.889999999</v>
      </c>
      <c r="K23">
        <f t="shared" si="0"/>
        <v>-3.6328982596633974E-3</v>
      </c>
      <c r="L23">
        <f t="shared" si="6"/>
        <v>7.031042230214618E-2</v>
      </c>
      <c r="M23" s="53">
        <v>9401636</v>
      </c>
      <c r="N23" s="53">
        <v>4977174.22</v>
      </c>
      <c r="O23">
        <f t="shared" si="1"/>
        <v>4.973610659793367E-2</v>
      </c>
      <c r="P23" s="80">
        <v>9714891.7200000007</v>
      </c>
      <c r="Q23" s="80">
        <v>9714891.7200000007</v>
      </c>
      <c r="R23">
        <f t="shared" si="2"/>
        <v>5.2954302415584353E-2</v>
      </c>
      <c r="S23">
        <f t="shared" si="7"/>
        <v>0.95188902187956792</v>
      </c>
    </row>
    <row r="24" spans="1:19" ht="15">
      <c r="A24" s="59" t="s">
        <v>92</v>
      </c>
      <c r="B24" s="51">
        <v>200300</v>
      </c>
      <c r="C24" s="51">
        <v>75532.75</v>
      </c>
      <c r="D24">
        <f t="shared" si="3"/>
        <v>5.7123936758036304E-4</v>
      </c>
      <c r="E24" s="51">
        <v>474846.07</v>
      </c>
      <c r="F24" s="51">
        <v>40679.51</v>
      </c>
      <c r="G24">
        <f t="shared" si="4"/>
        <v>-0.46143216022189049</v>
      </c>
      <c r="H24">
        <f t="shared" si="5"/>
        <v>3.2752745497159646E-4</v>
      </c>
      <c r="I24" s="51">
        <f>'[2]Anexo 11 A (2)'!$I$421</f>
        <v>12592.4</v>
      </c>
      <c r="J24" s="51">
        <v>8107.87</v>
      </c>
      <c r="K24">
        <f t="shared" si="0"/>
        <v>-0.35612988786887323</v>
      </c>
      <c r="L24">
        <f t="shared" si="6"/>
        <v>5.4578952346040243E-5</v>
      </c>
      <c r="M24" s="51">
        <v>30700</v>
      </c>
      <c r="N24" s="51">
        <v>5071.68</v>
      </c>
      <c r="O24">
        <f t="shared" si="1"/>
        <v>5.0680487754878759E-5</v>
      </c>
      <c r="P24" s="81">
        <v>27159.649999999998</v>
      </c>
      <c r="Q24" s="81">
        <v>21970.559999999998</v>
      </c>
      <c r="R24">
        <f t="shared" si="2"/>
        <v>1.1975796663637346E-4</v>
      </c>
      <c r="S24">
        <f t="shared" si="7"/>
        <v>3.332008328601173</v>
      </c>
    </row>
    <row r="25" spans="1:19" s="52" customFormat="1" ht="15">
      <c r="A25" s="55" t="s">
        <v>93</v>
      </c>
      <c r="B25" s="54">
        <v>168972.4</v>
      </c>
      <c r="C25" s="54">
        <v>153773.56</v>
      </c>
      <c r="D25">
        <f t="shared" si="3"/>
        <v>1.1629592615783355E-3</v>
      </c>
      <c r="E25" s="54">
        <v>87245.01</v>
      </c>
      <c r="F25" s="54">
        <v>70017.48</v>
      </c>
      <c r="G25">
        <f t="shared" si="4"/>
        <v>-0.54467152870753588</v>
      </c>
      <c r="H25">
        <f t="shared" si="5"/>
        <v>5.6373950983983469E-4</v>
      </c>
      <c r="I25" s="54">
        <f>'[2]Anexo 11 A (2)'!$I$440</f>
        <v>1127414</v>
      </c>
      <c r="J25" s="54">
        <v>7803.25</v>
      </c>
      <c r="K25">
        <f t="shared" si="0"/>
        <v>-0.99307862950078674</v>
      </c>
      <c r="L25">
        <f t="shared" si="6"/>
        <v>5.2528371803474716E-5</v>
      </c>
      <c r="M25" s="53">
        <v>136900</v>
      </c>
      <c r="N25" s="53">
        <v>30931.9</v>
      </c>
      <c r="O25">
        <f t="shared" si="1"/>
        <v>3.0909753359540315E-4</v>
      </c>
      <c r="P25" s="80">
        <v>0</v>
      </c>
      <c r="Q25" s="80">
        <v>0</v>
      </c>
      <c r="R25"/>
      <c r="S25">
        <f t="shared" si="7"/>
        <v>-1</v>
      </c>
    </row>
    <row r="26" spans="1:19" ht="15">
      <c r="A26" s="59" t="s">
        <v>94</v>
      </c>
      <c r="B26" s="51">
        <v>26858843.539999999</v>
      </c>
      <c r="C26" s="51">
        <v>20240340.399999999</v>
      </c>
      <c r="D26">
        <f t="shared" si="3"/>
        <v>0.15307372298383512</v>
      </c>
      <c r="E26" s="51">
        <v>27305094.649999999</v>
      </c>
      <c r="F26" s="51">
        <v>17785274.859999999</v>
      </c>
      <c r="G26">
        <f t="shared" si="4"/>
        <v>-0.12129566457291396</v>
      </c>
      <c r="H26">
        <f t="shared" si="5"/>
        <v>0.14319655794443237</v>
      </c>
      <c r="I26" s="51">
        <f>'[2]Anexo 11 A (2)'!$I$558</f>
        <v>35482941.080000006</v>
      </c>
      <c r="J26" s="51">
        <v>20479359.599999998</v>
      </c>
      <c r="K26">
        <f t="shared" si="0"/>
        <v>-0.42283928624103795</v>
      </c>
      <c r="L26">
        <f t="shared" si="6"/>
        <v>0.13785889409744134</v>
      </c>
      <c r="M26" s="51">
        <v>51365532.590000004</v>
      </c>
      <c r="N26" s="51">
        <v>14041952.869999999</v>
      </c>
      <c r="O26">
        <f t="shared" si="1"/>
        <v>0.14031899104096071</v>
      </c>
      <c r="P26" s="81">
        <v>28397767.979999993</v>
      </c>
      <c r="Q26" s="81">
        <v>24140286.919999994</v>
      </c>
      <c r="R26">
        <f t="shared" si="2"/>
        <v>0.13158479690812808</v>
      </c>
      <c r="S26">
        <f t="shared" si="7"/>
        <v>0.7191545323852091</v>
      </c>
    </row>
    <row r="27" spans="1:19" ht="15">
      <c r="A27" s="50" t="s">
        <v>95</v>
      </c>
      <c r="B27" s="57">
        <v>66500</v>
      </c>
      <c r="C27" s="57">
        <v>59970.25</v>
      </c>
      <c r="D27">
        <f t="shared" si="3"/>
        <v>4.5354323367858667E-4</v>
      </c>
      <c r="E27" s="57">
        <v>76704.42</v>
      </c>
      <c r="F27" s="57">
        <v>67863.03</v>
      </c>
      <c r="G27">
        <f t="shared" si="4"/>
        <v>0.13161159074707873</v>
      </c>
      <c r="H27">
        <f t="shared" si="5"/>
        <v>5.4639314737471264E-4</v>
      </c>
      <c r="I27" s="57">
        <f>'[2]Anexo 11 A (2)'!$I$560</f>
        <v>100000</v>
      </c>
      <c r="J27" s="57">
        <v>46836.6</v>
      </c>
      <c r="K27">
        <f t="shared" si="0"/>
        <v>-0.53163399999999994</v>
      </c>
      <c r="L27">
        <f t="shared" si="6"/>
        <v>3.1528534121175454E-4</v>
      </c>
      <c r="M27" s="48">
        <v>68000</v>
      </c>
      <c r="N27" s="48">
        <v>5544</v>
      </c>
      <c r="O27">
        <f t="shared" si="1"/>
        <v>5.5400306035287686E-5</v>
      </c>
      <c r="P27" s="82">
        <v>2597.1000000000004</v>
      </c>
      <c r="Q27" s="82">
        <v>2597.1000000000004</v>
      </c>
      <c r="R27">
        <f t="shared" si="2"/>
        <v>1.4156371760725516E-5</v>
      </c>
      <c r="S27">
        <f t="shared" si="7"/>
        <v>-0.53154761904761894</v>
      </c>
    </row>
    <row r="28" spans="1:19" ht="15">
      <c r="A28" s="59" t="s">
        <v>96</v>
      </c>
      <c r="B28" s="51">
        <v>1494294.73</v>
      </c>
      <c r="C28" s="51">
        <v>1313975.17</v>
      </c>
      <c r="D28">
        <f t="shared" si="3"/>
        <v>9.9373363888789965E-3</v>
      </c>
      <c r="E28" s="51">
        <v>1047309.02</v>
      </c>
      <c r="F28" s="51">
        <v>957856.82000000007</v>
      </c>
      <c r="G28">
        <f t="shared" si="4"/>
        <v>-0.27102365260068029</v>
      </c>
      <c r="H28">
        <f t="shared" si="5"/>
        <v>7.7120989530549055E-3</v>
      </c>
      <c r="I28" s="51">
        <f>'[2]Anexo 11 A (2)'!$I$615</f>
        <v>2053843.96</v>
      </c>
      <c r="J28" s="51">
        <v>1194654.58</v>
      </c>
      <c r="K28">
        <f t="shared" si="0"/>
        <v>-0.41833235471306196</v>
      </c>
      <c r="L28">
        <f t="shared" si="6"/>
        <v>8.0419389299284192E-3</v>
      </c>
      <c r="M28" s="51">
        <v>2783037.67</v>
      </c>
      <c r="N28" s="51">
        <v>1001922.17</v>
      </c>
      <c r="O28">
        <f t="shared" si="1"/>
        <v>1.0012048131590826E-2</v>
      </c>
      <c r="P28" s="81">
        <v>1283700.6399999999</v>
      </c>
      <c r="Q28" s="81">
        <v>1076684.48</v>
      </c>
      <c r="R28">
        <f t="shared" si="2"/>
        <v>5.8688328396609424E-3</v>
      </c>
      <c r="S28">
        <f t="shared" si="7"/>
        <v>7.4618879827761386E-2</v>
      </c>
    </row>
    <row r="29" spans="1:19" ht="15">
      <c r="A29" s="50" t="s">
        <v>97</v>
      </c>
      <c r="B29" s="57">
        <v>372390.04000000004</v>
      </c>
      <c r="C29" s="57">
        <v>268531.92999999993</v>
      </c>
      <c r="D29">
        <f t="shared" si="3"/>
        <v>2.0308542965579075E-3</v>
      </c>
      <c r="E29" s="57">
        <v>461244.18000000005</v>
      </c>
      <c r="F29" s="57">
        <v>234426.03000000003</v>
      </c>
      <c r="G29">
        <f t="shared" si="4"/>
        <v>-0.12700873225764964</v>
      </c>
      <c r="H29">
        <f t="shared" si="5"/>
        <v>1.8874603205642133E-3</v>
      </c>
      <c r="I29" s="57">
        <f>'[2]Anexo 11 A (2)'!$I$634</f>
        <v>669703</v>
      </c>
      <c r="J29" s="57">
        <v>192862.68</v>
      </c>
      <c r="K29">
        <f t="shared" si="0"/>
        <v>-0.71201759585965718</v>
      </c>
      <c r="L29">
        <f t="shared" si="6"/>
        <v>1.2982747652650582E-3</v>
      </c>
      <c r="M29" s="48">
        <v>841352.04</v>
      </c>
      <c r="N29" s="48">
        <v>127139.04</v>
      </c>
      <c r="O29">
        <f t="shared" si="1"/>
        <v>1.2704801091328792E-3</v>
      </c>
      <c r="P29" s="82">
        <v>172741.40999999997</v>
      </c>
      <c r="Q29" s="82">
        <v>172741.40999999997</v>
      </c>
      <c r="R29">
        <f t="shared" si="2"/>
        <v>9.4158546780328341E-4</v>
      </c>
      <c r="S29">
        <f t="shared" si="7"/>
        <v>0.35868109433577589</v>
      </c>
    </row>
    <row r="30" spans="1:19" ht="15">
      <c r="A30" s="56" t="s">
        <v>98</v>
      </c>
      <c r="B30" s="51">
        <v>28632</v>
      </c>
      <c r="C30" s="51">
        <v>8531.7900000000009</v>
      </c>
      <c r="D30">
        <f t="shared" si="3"/>
        <v>6.4524253703571844E-5</v>
      </c>
      <c r="E30" s="51">
        <v>20000</v>
      </c>
      <c r="F30" s="51">
        <v>0</v>
      </c>
      <c r="G30">
        <f t="shared" si="4"/>
        <v>-1</v>
      </c>
      <c r="H30">
        <f t="shared" si="5"/>
        <v>0</v>
      </c>
      <c r="I30" s="51">
        <f>'[2]Anexo 11 A (2)'!$I$638</f>
        <v>172225</v>
      </c>
      <c r="J30" s="51">
        <v>0</v>
      </c>
      <c r="K30">
        <f t="shared" si="0"/>
        <v>-1</v>
      </c>
      <c r="L30">
        <f t="shared" si="6"/>
        <v>0</v>
      </c>
      <c r="M30" s="51">
        <v>36460</v>
      </c>
      <c r="N30" s="51">
        <v>20000</v>
      </c>
      <c r="O30">
        <f t="shared" si="1"/>
        <v>1.998568038791042E-4</v>
      </c>
      <c r="P30" s="81">
        <v>0</v>
      </c>
      <c r="Q30" s="81">
        <v>0</v>
      </c>
      <c r="R30"/>
      <c r="S30">
        <f t="shared" si="7"/>
        <v>-1</v>
      </c>
    </row>
    <row r="31" spans="1:19" ht="15">
      <c r="A31" s="58" t="s">
        <v>99</v>
      </c>
      <c r="B31" s="57">
        <v>0</v>
      </c>
      <c r="C31" s="57">
        <v>0</v>
      </c>
      <c r="D31">
        <f t="shared" si="3"/>
        <v>0</v>
      </c>
      <c r="E31" s="57">
        <v>0</v>
      </c>
      <c r="F31" s="57">
        <v>0</v>
      </c>
      <c r="G31">
        <v>0</v>
      </c>
      <c r="H31">
        <f t="shared" si="5"/>
        <v>0</v>
      </c>
      <c r="I31" s="57">
        <f>'[2]Anexo 11 A (2)'!$I$640</f>
        <v>33662</v>
      </c>
      <c r="J31" s="57">
        <v>33661.72</v>
      </c>
      <c r="K31">
        <f t="shared" si="0"/>
        <v>-8.317984671157852E-6</v>
      </c>
      <c r="L31">
        <f t="shared" si="6"/>
        <v>2.2659729519167794E-4</v>
      </c>
      <c r="M31" s="48">
        <v>198870</v>
      </c>
      <c r="N31" s="48">
        <v>37835.160000000003</v>
      </c>
      <c r="O31">
        <f t="shared" si="1"/>
        <v>3.7808070759272642E-4</v>
      </c>
      <c r="P31" s="82">
        <v>875769.1100000001</v>
      </c>
      <c r="Q31" s="82">
        <v>732972.44000000006</v>
      </c>
      <c r="R31">
        <f t="shared" si="2"/>
        <v>3.9953141392345603E-3</v>
      </c>
      <c r="S31">
        <f t="shared" si="7"/>
        <v>18.372785525421328</v>
      </c>
    </row>
    <row r="32" spans="1:19" ht="15">
      <c r="A32" s="56" t="s">
        <v>100</v>
      </c>
      <c r="B32" s="51">
        <v>35000</v>
      </c>
      <c r="C32" s="51">
        <v>0</v>
      </c>
      <c r="D32">
        <f t="shared" si="3"/>
        <v>0</v>
      </c>
      <c r="E32" s="51">
        <v>11000</v>
      </c>
      <c r="F32" s="51">
        <v>0</v>
      </c>
      <c r="G32">
        <v>0</v>
      </c>
      <c r="H32">
        <f t="shared" si="5"/>
        <v>0</v>
      </c>
      <c r="I32" s="51">
        <v>0</v>
      </c>
      <c r="J32" s="51">
        <v>0</v>
      </c>
      <c r="K32">
        <v>0</v>
      </c>
      <c r="L32">
        <f t="shared" si="6"/>
        <v>0</v>
      </c>
      <c r="M32" s="51">
        <v>30000</v>
      </c>
      <c r="N32" s="51">
        <v>0</v>
      </c>
      <c r="O32">
        <f t="shared" si="1"/>
        <v>0</v>
      </c>
      <c r="P32" s="81">
        <v>0</v>
      </c>
      <c r="Q32" s="81">
        <v>0</v>
      </c>
      <c r="R32"/>
      <c r="S32"/>
    </row>
    <row r="33" spans="1:19" s="52" customFormat="1" ht="15">
      <c r="A33" s="55" t="s">
        <v>101</v>
      </c>
      <c r="B33" s="54">
        <v>54048315.819999993</v>
      </c>
      <c r="C33" s="54">
        <v>51126801.829999991</v>
      </c>
      <c r="D33">
        <f t="shared" si="3"/>
        <v>0.38666197038735839</v>
      </c>
      <c r="E33" s="54">
        <v>56973833</v>
      </c>
      <c r="F33" s="54">
        <v>52484043.000000007</v>
      </c>
      <c r="G33">
        <f t="shared" si="4"/>
        <v>2.6546568950526872E-2</v>
      </c>
      <c r="H33">
        <f t="shared" si="5"/>
        <v>0.42257060201585106</v>
      </c>
      <c r="I33" s="54">
        <v>68620043.420000002</v>
      </c>
      <c r="J33" s="54">
        <v>66043794.780000001</v>
      </c>
      <c r="K33">
        <f t="shared" si="0"/>
        <v>-3.7543675456916503E-2</v>
      </c>
      <c r="L33">
        <f t="shared" si="6"/>
        <v>0.4445805283075927</v>
      </c>
      <c r="M33" s="53">
        <v>91531659.700000003</v>
      </c>
      <c r="N33" s="53">
        <v>57049101.229999997</v>
      </c>
      <c r="O33">
        <f t="shared" si="1"/>
        <v>0.57008255180016354</v>
      </c>
      <c r="P33" s="80">
        <v>105571022.23999999</v>
      </c>
      <c r="Q33" s="80">
        <v>105287535.91</v>
      </c>
      <c r="R33">
        <f t="shared" si="2"/>
        <v>0.57390531751287877</v>
      </c>
      <c r="S33">
        <f t="shared" si="7"/>
        <v>0.84555994117280164</v>
      </c>
    </row>
    <row r="34" spans="1:19" ht="15">
      <c r="A34" s="84" t="s">
        <v>102</v>
      </c>
      <c r="B34" s="85">
        <f>SUM(B7:B33)</f>
        <v>158405848.81999999</v>
      </c>
      <c r="C34" s="85">
        <f t="shared" ref="C34" si="8">SUM(C7:C33)</f>
        <v>132226093.45000002</v>
      </c>
      <c r="D34">
        <f t="shared" si="3"/>
        <v>1</v>
      </c>
      <c r="E34" s="85">
        <f t="shared" ref="E34:F34" si="9">SUM(E7:E33)</f>
        <v>159893590.07999998</v>
      </c>
      <c r="F34" s="85">
        <f t="shared" si="9"/>
        <v>124201832.19</v>
      </c>
      <c r="G34">
        <f t="shared" si="4"/>
        <v>-6.0685913427778293E-2</v>
      </c>
      <c r="H34">
        <f t="shared" si="5"/>
        <v>1</v>
      </c>
      <c r="I34" s="85">
        <f t="shared" ref="I34" si="10">SUM(I7:I33)</f>
        <v>195920903.91</v>
      </c>
      <c r="J34" s="85">
        <v>148553052.98999998</v>
      </c>
      <c r="K34">
        <f t="shared" si="0"/>
        <v>-0.24177027552792096</v>
      </c>
      <c r="L34">
        <f t="shared" si="6"/>
        <v>1</v>
      </c>
      <c r="M34" s="86">
        <f>SUM(M7:M33)</f>
        <v>235085250.54999995</v>
      </c>
      <c r="N34" s="86">
        <f>SUM(N7:N33)</f>
        <v>100071649.35999998</v>
      </c>
      <c r="O34">
        <f t="shared" si="1"/>
        <v>1</v>
      </c>
      <c r="P34" s="87">
        <v>189568523.25999999</v>
      </c>
      <c r="Q34" s="87">
        <v>183458024.69</v>
      </c>
      <c r="R34">
        <f t="shared" si="2"/>
        <v>1</v>
      </c>
      <c r="S34">
        <f t="shared" si="7"/>
        <v>0.83326672302585925</v>
      </c>
    </row>
    <row r="35" spans="1:19" ht="15">
      <c r="A35" s="50" t="s">
        <v>103</v>
      </c>
      <c r="B35" s="49">
        <f>B34-B36</f>
        <v>67548889.120000005</v>
      </c>
      <c r="C35" s="49">
        <f>C34-C36</f>
        <v>46394724.050000012</v>
      </c>
      <c r="D35">
        <f t="shared" si="3"/>
        <v>0.35087419464255531</v>
      </c>
      <c r="E35" s="49">
        <f>E34-E36</f>
        <v>61550218.119999975</v>
      </c>
      <c r="F35" s="49">
        <f>F34-F36</f>
        <v>33878163.989999995</v>
      </c>
      <c r="G35">
        <f t="shared" si="4"/>
        <v>-0.26978412559391041</v>
      </c>
      <c r="H35">
        <f t="shared" si="5"/>
        <v>0.27276702277768544</v>
      </c>
      <c r="I35" s="49">
        <f>I34-I36</f>
        <v>86156059.75</v>
      </c>
      <c r="J35" s="49">
        <v>44629574.269999981</v>
      </c>
      <c r="K35">
        <f t="shared" si="0"/>
        <v>-0.48199146526080561</v>
      </c>
      <c r="L35">
        <f t="shared" si="6"/>
        <v>0.30042852281874188</v>
      </c>
      <c r="M35" s="48">
        <f>M34-M36</f>
        <v>107987799.76999995</v>
      </c>
      <c r="N35" s="48">
        <f>N34-N36</f>
        <v>30884324.129999995</v>
      </c>
      <c r="O35">
        <f t="shared" si="1"/>
        <v>0.30862211552940472</v>
      </c>
      <c r="P35" s="82">
        <v>61861674.429999992</v>
      </c>
      <c r="Q35" s="48">
        <f>Q34-Q36</f>
        <v>50236123.019999996</v>
      </c>
      <c r="R35">
        <f t="shared" si="2"/>
        <v>0.27382897589182581</v>
      </c>
      <c r="S35">
        <f t="shared" si="7"/>
        <v>0.62658968376783464</v>
      </c>
    </row>
    <row r="36" spans="1:19" ht="15">
      <c r="A36" s="88" t="s">
        <v>104</v>
      </c>
      <c r="B36" s="89">
        <f>B7+B11+B18+B23+B25+B33</f>
        <v>90856959.699999988</v>
      </c>
      <c r="C36" s="89">
        <f>C7+C11+C18+C23+C25+C33</f>
        <v>85831369.400000006</v>
      </c>
      <c r="D36">
        <f t="shared" si="3"/>
        <v>0.64912580535744469</v>
      </c>
      <c r="E36" s="89">
        <f>E7+E11+E18+E23+E25+E33</f>
        <v>98343371.960000008</v>
      </c>
      <c r="F36" s="89">
        <f>F7+F11+F18+F23+F25+F33</f>
        <v>90323668.200000003</v>
      </c>
      <c r="G36">
        <f t="shared" si="4"/>
        <v>5.2338659296748968E-2</v>
      </c>
      <c r="H36">
        <f t="shared" si="5"/>
        <v>0.7272329772223145</v>
      </c>
      <c r="I36" s="89">
        <f>I7+I11+I18+I23+I25+I33</f>
        <v>109764844.16</v>
      </c>
      <c r="J36" s="89">
        <v>103923478.72</v>
      </c>
      <c r="K36">
        <f t="shared" si="0"/>
        <v>-5.3217088628898956E-2</v>
      </c>
      <c r="L36">
        <f t="shared" si="6"/>
        <v>0.69957147718125812</v>
      </c>
      <c r="M36" s="90">
        <f>M7+M11+M18+M23+M25+M33</f>
        <v>127097450.78</v>
      </c>
      <c r="N36" s="90">
        <f>N7+N11+N18+N23+N25+N33</f>
        <v>69187325.229999989</v>
      </c>
      <c r="O36">
        <f t="shared" si="1"/>
        <v>0.69137788447059523</v>
      </c>
      <c r="P36" s="91">
        <v>127706848.83</v>
      </c>
      <c r="Q36" s="90">
        <f>Q7+Q11+Q18+Q23+Q25+Q33+Q8</f>
        <v>133221901.67</v>
      </c>
      <c r="R36">
        <f t="shared" si="2"/>
        <v>0.72617102410817413</v>
      </c>
      <c r="S36">
        <f t="shared" si="7"/>
        <v>0.92552467127655746</v>
      </c>
    </row>
    <row r="37" spans="1:19" ht="15">
      <c r="A37" s="46" t="s">
        <v>105</v>
      </c>
      <c r="B37">
        <f>B36/B34</f>
        <v>0.57357073856056118</v>
      </c>
      <c r="C37">
        <f>C36/C34</f>
        <v>0.64912580535744469</v>
      </c>
      <c r="D37" s="45"/>
      <c r="E37">
        <f>E36/E34</f>
        <v>0.61505512454123779</v>
      </c>
      <c r="F37">
        <f>F36/F34</f>
        <v>0.7272329772223145</v>
      </c>
      <c r="G37" s="45"/>
      <c r="H37" s="45"/>
      <c r="I37">
        <f>I36/I34</f>
        <v>0.56025080514339898</v>
      </c>
      <c r="J37">
        <f>J36/J34</f>
        <v>0.69957147718125812</v>
      </c>
      <c r="K37" s="45"/>
      <c r="L37" s="45"/>
      <c r="M37">
        <f>M36/M34</f>
        <v>0.54064408754971138</v>
      </c>
      <c r="N37">
        <f>N36/N34</f>
        <v>0.69137788447059523</v>
      </c>
      <c r="O37" s="92"/>
      <c r="P37">
        <f>P36/P34</f>
        <v>0.67367116984313635</v>
      </c>
      <c r="Q37">
        <f>Q36/Q34</f>
        <v>0.72617102410817413</v>
      </c>
      <c r="R37"/>
      <c r="S37" s="93"/>
    </row>
    <row r="39" spans="1:19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Q39" s="118"/>
    </row>
    <row r="40" spans="1:19">
      <c r="J40" s="44"/>
    </row>
    <row r="41" spans="1:19">
      <c r="J41" s="43"/>
    </row>
    <row r="42" spans="1:19">
      <c r="J42" s="43"/>
    </row>
    <row r="47" spans="1:19">
      <c r="J47" s="43"/>
    </row>
    <row r="48" spans="1:19">
      <c r="J48" s="43"/>
    </row>
    <row r="49" spans="10:10">
      <c r="J49" s="43"/>
    </row>
    <row r="50" spans="10:10">
      <c r="J50" s="43"/>
    </row>
    <row r="51" spans="10:10">
      <c r="J51" s="43"/>
    </row>
    <row r="52" spans="10:10">
      <c r="J52" s="118"/>
    </row>
    <row r="53" spans="10:10">
      <c r="J53" s="118"/>
    </row>
    <row r="54" spans="10:10">
      <c r="J54" s="118"/>
    </row>
  </sheetData>
  <mergeCells count="8">
    <mergeCell ref="A2:S2"/>
    <mergeCell ref="A3:S3"/>
    <mergeCell ref="A4:S4"/>
    <mergeCell ref="B5:D5"/>
    <mergeCell ref="E5:H5"/>
    <mergeCell ref="I5:L5"/>
    <mergeCell ref="M5:O5"/>
    <mergeCell ref="P5:R5"/>
  </mergeCells>
  <pageMargins left="0.23622047244094491" right="0.23622047244094491" top="0.78740157480314965" bottom="0.78740157480314965" header="0.31496062992125984" footer="0.31496062992125984"/>
  <pageSetup paperSize="9" scale="90" orientation="landscape" r:id="rId1"/>
  <headerFooter>
    <oddFooter>&amp;C&amp;6&amp;Z&amp;F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sqref="A1:I1"/>
    </sheetView>
  </sheetViews>
  <sheetFormatPr defaultRowHeight="15"/>
  <cols>
    <col min="1" max="1" width="53.28515625" bestFit="1" customWidth="1"/>
    <col min="2" max="7" width="15.28515625" customWidth="1"/>
    <col min="8" max="8" width="16.85546875" bestFit="1" customWidth="1"/>
    <col min="9" max="9" width="14.28515625" bestFit="1" customWidth="1"/>
  </cols>
  <sheetData>
    <row r="1" spans="1:13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03"/>
      <c r="K1" s="103"/>
      <c r="L1" s="103"/>
      <c r="M1" s="103"/>
    </row>
    <row r="2" spans="1:13">
      <c r="A2" s="128" t="s">
        <v>106</v>
      </c>
      <c r="B2" s="128"/>
      <c r="C2" s="128"/>
      <c r="D2" s="128"/>
      <c r="E2" s="128"/>
      <c r="F2" s="128"/>
      <c r="G2" s="128"/>
      <c r="H2" s="128"/>
      <c r="I2" s="128"/>
    </row>
    <row r="3" spans="1:13">
      <c r="A3" s="140" t="s">
        <v>2</v>
      </c>
      <c r="B3" s="140"/>
      <c r="C3" s="140"/>
      <c r="D3" s="140"/>
      <c r="E3" s="140"/>
      <c r="F3" s="140"/>
      <c r="G3" s="140"/>
      <c r="H3" s="140"/>
      <c r="I3" s="140"/>
    </row>
    <row r="4" spans="1:13">
      <c r="A4" s="72" t="s">
        <v>107</v>
      </c>
      <c r="B4" s="73">
        <v>2009</v>
      </c>
      <c r="C4" s="73">
        <v>2010</v>
      </c>
      <c r="D4" s="73">
        <v>2011</v>
      </c>
      <c r="E4" s="73">
        <v>2012</v>
      </c>
      <c r="F4" s="73">
        <v>2013</v>
      </c>
      <c r="G4" s="73">
        <v>2014</v>
      </c>
      <c r="H4" s="73">
        <v>2015</v>
      </c>
      <c r="I4" s="75">
        <v>2016</v>
      </c>
    </row>
    <row r="5" spans="1:13">
      <c r="A5" s="2" t="s">
        <v>15</v>
      </c>
      <c r="B5">
        <v>27591030.699999999</v>
      </c>
      <c r="C5">
        <v>31922827.27</v>
      </c>
      <c r="D5">
        <v>39688730.75</v>
      </c>
      <c r="E5">
        <v>58199293.520000003</v>
      </c>
      <c r="F5" s="107">
        <v>61824273.869999997</v>
      </c>
      <c r="G5">
        <v>57325502.890000001</v>
      </c>
      <c r="H5">
        <v>67154606.349999994</v>
      </c>
      <c r="I5">
        <v>75720020.780000001</v>
      </c>
    </row>
    <row r="6" spans="1:13">
      <c r="A6" s="2" t="s">
        <v>16</v>
      </c>
      <c r="B6">
        <v>363058.98</v>
      </c>
      <c r="C6">
        <v>448522.72</v>
      </c>
      <c r="D6">
        <v>1162119.26</v>
      </c>
      <c r="E6">
        <v>4878464.38</v>
      </c>
      <c r="F6">
        <v>2145130.79</v>
      </c>
      <c r="G6">
        <v>2506936.2799999998</v>
      </c>
      <c r="H6">
        <v>2331593.83</v>
      </c>
      <c r="I6">
        <v>11473484.699999999</v>
      </c>
    </row>
    <row r="7" spans="1:13">
      <c r="A7" s="2" t="s">
        <v>17</v>
      </c>
      <c r="B7">
        <v>0</v>
      </c>
      <c r="C7">
        <v>0</v>
      </c>
      <c r="D7">
        <v>0</v>
      </c>
      <c r="E7">
        <v>1833190.87</v>
      </c>
      <c r="F7">
        <v>0</v>
      </c>
      <c r="H7" s="39"/>
      <c r="I7" s="76"/>
    </row>
    <row r="8" spans="1:13">
      <c r="A8" s="2" t="s">
        <v>18</v>
      </c>
      <c r="B8">
        <v>314563.82</v>
      </c>
      <c r="C8">
        <v>243588.04</v>
      </c>
      <c r="D8">
        <v>996875.07</v>
      </c>
      <c r="E8">
        <v>1092327.1599999999</v>
      </c>
      <c r="F8">
        <v>1422130.31</v>
      </c>
      <c r="G8">
        <v>2493319.7000000002</v>
      </c>
      <c r="H8">
        <v>3333401.62</v>
      </c>
      <c r="I8">
        <v>2507406.2000000002</v>
      </c>
    </row>
    <row r="9" spans="1:13">
      <c r="A9" s="2" t="s">
        <v>19</v>
      </c>
      <c r="B9">
        <v>0</v>
      </c>
      <c r="D9">
        <v>0</v>
      </c>
      <c r="E9">
        <v>0</v>
      </c>
      <c r="F9">
        <v>867643.63</v>
      </c>
      <c r="G9" s="107">
        <v>900000</v>
      </c>
      <c r="H9">
        <v>934716.68</v>
      </c>
      <c r="I9">
        <v>877806.13</v>
      </c>
    </row>
    <row r="10" spans="1:13">
      <c r="A10" s="2" t="s">
        <v>20</v>
      </c>
      <c r="B10">
        <v>899639.68</v>
      </c>
      <c r="C10">
        <v>153404.71</v>
      </c>
      <c r="D10">
        <v>483454.45</v>
      </c>
      <c r="E10">
        <v>267644.24</v>
      </c>
      <c r="F10">
        <v>179593.18</v>
      </c>
      <c r="G10" s="107">
        <v>775908.87</v>
      </c>
      <c r="H10">
        <v>0</v>
      </c>
      <c r="I10" s="76"/>
    </row>
    <row r="11" spans="1:13">
      <c r="A11" s="3" t="s">
        <v>108</v>
      </c>
      <c r="B11" s="108">
        <v>48793972.200000003</v>
      </c>
      <c r="C11" s="108">
        <v>50004701.130000003</v>
      </c>
      <c r="D11" s="108">
        <v>46327236.189999998</v>
      </c>
      <c r="E11" s="108">
        <v>81341634.260000005</v>
      </c>
      <c r="F11" s="108">
        <v>73310580.069999993</v>
      </c>
      <c r="G11" s="108">
        <v>83759027.640000001</v>
      </c>
      <c r="H11" s="108">
        <v>85346249.530000001</v>
      </c>
      <c r="I11" s="119">
        <f>SUM(I5:I10)</f>
        <v>90578717.810000002</v>
      </c>
    </row>
  </sheetData>
  <mergeCells count="3">
    <mergeCell ref="A1:I1"/>
    <mergeCell ref="A3:I3"/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I1"/>
    </sheetView>
  </sheetViews>
  <sheetFormatPr defaultRowHeight="15"/>
  <cols>
    <col min="1" max="1" width="43.85546875" customWidth="1"/>
    <col min="2" max="7" width="15.28515625" customWidth="1"/>
    <col min="8" max="8" width="16.85546875" bestFit="1" customWidth="1"/>
    <col min="9" max="9" width="15.28515625" bestFit="1" customWidth="1"/>
  </cols>
  <sheetData>
    <row r="1" spans="1:9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>
      <c r="A2" s="128" t="s">
        <v>109</v>
      </c>
      <c r="B2" s="128"/>
      <c r="C2" s="128"/>
      <c r="D2" s="128"/>
      <c r="E2" s="128"/>
      <c r="F2" s="128"/>
      <c r="G2" s="128"/>
      <c r="H2" s="128"/>
      <c r="I2" s="128"/>
    </row>
    <row r="3" spans="1:9">
      <c r="A3" s="140" t="s">
        <v>110</v>
      </c>
      <c r="B3" s="140"/>
      <c r="C3" s="140"/>
      <c r="D3" s="140"/>
      <c r="E3" s="140"/>
      <c r="F3" s="140"/>
      <c r="G3" s="140"/>
      <c r="H3" s="140"/>
      <c r="I3" s="140"/>
    </row>
    <row r="4" spans="1:9">
      <c r="A4" s="95" t="s">
        <v>111</v>
      </c>
      <c r="B4" s="96">
        <v>2009</v>
      </c>
      <c r="C4" s="96">
        <v>2010</v>
      </c>
      <c r="D4" s="96">
        <v>2011</v>
      </c>
      <c r="E4" s="96">
        <v>2012</v>
      </c>
      <c r="F4" s="96">
        <v>2013</v>
      </c>
      <c r="G4" s="96">
        <v>2014</v>
      </c>
      <c r="H4" s="96">
        <v>2015</v>
      </c>
      <c r="I4" s="97">
        <v>2016</v>
      </c>
    </row>
    <row r="5" spans="1:9">
      <c r="A5" s="2" t="s">
        <v>23</v>
      </c>
      <c r="B5">
        <v>51880932.25</v>
      </c>
      <c r="C5">
        <v>56234551.359999999</v>
      </c>
      <c r="D5">
        <v>52581761.079999998</v>
      </c>
      <c r="E5">
        <v>86278690.099999994</v>
      </c>
      <c r="F5">
        <v>90795965.780000001</v>
      </c>
      <c r="G5">
        <v>102180175.81</v>
      </c>
      <c r="H5">
        <v>104624490.76000001</v>
      </c>
      <c r="I5">
        <v>123949021.55</v>
      </c>
    </row>
    <row r="6" spans="1:9">
      <c r="A6" s="2" t="s">
        <v>25</v>
      </c>
      <c r="B6">
        <v>24564886.73</v>
      </c>
      <c r="C6">
        <v>24882913.079999998</v>
      </c>
      <c r="D6">
        <v>26902161.879999999</v>
      </c>
      <c r="E6">
        <v>35512764.780000001</v>
      </c>
      <c r="F6">
        <v>30147322.739999998</v>
      </c>
      <c r="G6">
        <v>40734836.030000001</v>
      </c>
      <c r="H6">
        <v>45458185.270000003</v>
      </c>
      <c r="I6">
        <v>56709304.280000001</v>
      </c>
    </row>
    <row r="7" spans="1:9">
      <c r="A7" s="2" t="s">
        <v>26</v>
      </c>
      <c r="B7">
        <v>1829698.84</v>
      </c>
      <c r="C7">
        <v>462159.8</v>
      </c>
      <c r="D7">
        <v>3049651.35</v>
      </c>
      <c r="E7">
        <v>12169870.67</v>
      </c>
      <c r="F7">
        <f>F8</f>
        <v>4363228.45</v>
      </c>
      <c r="G7">
        <f>G8</f>
        <v>5736161.9800000004</v>
      </c>
      <c r="H7" s="107">
        <f>H8</f>
        <v>8621338.5199999996</v>
      </c>
      <c r="I7" s="120">
        <f>I8</f>
        <v>4377166.55</v>
      </c>
    </row>
    <row r="8" spans="1:9">
      <c r="A8" s="2" t="s">
        <v>27</v>
      </c>
      <c r="B8">
        <v>1829698.84</v>
      </c>
      <c r="C8">
        <v>462159.8</v>
      </c>
      <c r="D8">
        <v>3049651.35</v>
      </c>
      <c r="E8">
        <v>12169870.67</v>
      </c>
      <c r="F8">
        <v>4363228.45</v>
      </c>
      <c r="G8">
        <v>5736161.9800000004</v>
      </c>
      <c r="H8">
        <v>8621338.5199999996</v>
      </c>
      <c r="I8">
        <v>4377166.55</v>
      </c>
    </row>
    <row r="9" spans="1:9">
      <c r="A9" s="2" t="s">
        <v>29</v>
      </c>
      <c r="B9">
        <f>151866.02+2040</f>
        <v>153906.01999999999</v>
      </c>
      <c r="C9">
        <v>113407.79</v>
      </c>
      <c r="D9">
        <v>0</v>
      </c>
      <c r="E9">
        <v>5848921.4800000004</v>
      </c>
      <c r="F9">
        <f>2913438.24+1147856.95</f>
        <v>4061295.1900000004</v>
      </c>
      <c r="G9">
        <f>4953099.47+1789571.25</f>
        <v>6742670.7199999997</v>
      </c>
      <c r="H9">
        <v>10652372.84</v>
      </c>
      <c r="I9">
        <v>3086614.83</v>
      </c>
    </row>
    <row r="10" spans="1:9" s="1" customFormat="1" hidden="1">
      <c r="A10" s="98" t="s">
        <v>111</v>
      </c>
      <c r="B10" s="99">
        <v>2009</v>
      </c>
      <c r="C10" s="99">
        <v>2010</v>
      </c>
      <c r="D10" s="99">
        <v>2011</v>
      </c>
      <c r="E10" s="99">
        <v>2012</v>
      </c>
      <c r="F10" s="99">
        <v>2013</v>
      </c>
      <c r="G10" s="99">
        <v>2014</v>
      </c>
      <c r="H10" s="99">
        <v>2015</v>
      </c>
      <c r="I10" s="100">
        <v>2016</v>
      </c>
    </row>
    <row r="11" spans="1:9">
      <c r="A11" s="2" t="s">
        <v>33</v>
      </c>
      <c r="B11">
        <v>24251332.690000001</v>
      </c>
      <c r="C11">
        <v>21996321.190000001</v>
      </c>
      <c r="D11">
        <v>24306386.940000001</v>
      </c>
      <c r="E11">
        <v>44790510.289999999</v>
      </c>
      <c r="F11">
        <v>44058315.810000002</v>
      </c>
      <c r="G11">
        <v>45211257.899999999</v>
      </c>
      <c r="H11">
        <v>47054059.969999999</v>
      </c>
      <c r="I11">
        <v>52742924.119999997</v>
      </c>
    </row>
    <row r="12" spans="1:9">
      <c r="A12" s="2" t="s">
        <v>34</v>
      </c>
      <c r="B12">
        <v>31842297.579999998</v>
      </c>
      <c r="C12">
        <v>34254508.57</v>
      </c>
      <c r="D12">
        <v>34836645.700000003</v>
      </c>
      <c r="E12">
        <v>59167869.240000002</v>
      </c>
      <c r="F12">
        <v>53359268.340000004</v>
      </c>
      <c r="G12">
        <v>65780538.079999998</v>
      </c>
      <c r="H12">
        <v>76051619.25</v>
      </c>
      <c r="I12">
        <v>84257744.420000002</v>
      </c>
    </row>
    <row r="13" spans="1:9">
      <c r="A13" s="2" t="s">
        <v>35</v>
      </c>
      <c r="B13">
        <v>5271494.9400000004</v>
      </c>
      <c r="C13">
        <v>3827554.25</v>
      </c>
      <c r="D13">
        <v>1680116.32</v>
      </c>
      <c r="E13">
        <v>1020020.86</v>
      </c>
      <c r="F13">
        <v>2160382.71</v>
      </c>
      <c r="G13">
        <v>2714032.82</v>
      </c>
      <c r="H13">
        <v>2130285.5499999998</v>
      </c>
      <c r="I13">
        <v>3460482.58</v>
      </c>
    </row>
    <row r="14" spans="1:9">
      <c r="A14" s="2" t="s">
        <v>37</v>
      </c>
      <c r="B14">
        <v>5385148.1900000004</v>
      </c>
      <c r="C14">
        <v>8387399.46</v>
      </c>
      <c r="D14">
        <v>8699639.6799999997</v>
      </c>
      <c r="E14">
        <v>12898004.66</v>
      </c>
      <c r="F14">
        <v>11837574.800000001</v>
      </c>
      <c r="G14">
        <v>16976530.050000001</v>
      </c>
      <c r="H14">
        <v>16659527.779999999</v>
      </c>
      <c r="I14">
        <v>18691591.73</v>
      </c>
    </row>
    <row r="15" spans="1:9">
      <c r="A15" s="3" t="s">
        <v>39</v>
      </c>
      <c r="B15">
        <v>11525244.42</v>
      </c>
      <c r="C15">
        <v>13113840.77</v>
      </c>
      <c r="D15">
        <v>13010785.67</v>
      </c>
      <c r="E15">
        <v>16075920.5</v>
      </c>
      <c r="F15">
        <v>13800975.310000001</v>
      </c>
      <c r="G15">
        <v>18018044.629999999</v>
      </c>
      <c r="H15">
        <v>16808522</v>
      </c>
      <c r="I15">
        <v>25882749.530000001</v>
      </c>
    </row>
    <row r="16" spans="1:9">
      <c r="B16" s="111"/>
      <c r="C16" s="111"/>
      <c r="E16" s="111"/>
      <c r="G16" s="111"/>
      <c r="I16" s="111"/>
    </row>
    <row r="17" spans="6:7">
      <c r="F17" s="111"/>
      <c r="G17" s="111"/>
    </row>
  </sheetData>
  <mergeCells count="3"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workbookViewId="0"/>
  </sheetViews>
  <sheetFormatPr defaultRowHeight="15"/>
  <cols>
    <col min="1" max="1" width="23" customWidth="1"/>
    <col min="2" max="2" width="18.5703125" customWidth="1"/>
    <col min="3" max="3" width="14.85546875" customWidth="1"/>
    <col min="4" max="4" width="10.5703125" customWidth="1"/>
    <col min="5" max="5" width="14.7109375" customWidth="1"/>
    <col min="6" max="6" width="8.85546875" customWidth="1"/>
    <col min="7" max="7" width="14.7109375" customWidth="1"/>
    <col min="8" max="8" width="9" customWidth="1"/>
    <col min="9" max="9" width="14.28515625" customWidth="1"/>
    <col min="10" max="10" width="7.42578125" bestFit="1" customWidth="1"/>
    <col min="11" max="11" width="14.28515625" customWidth="1"/>
    <col min="12" max="12" width="9" customWidth="1"/>
    <col min="13" max="13" width="9.5703125" bestFit="1" customWidth="1"/>
    <col min="14" max="14" width="9" customWidth="1"/>
    <col min="15" max="15" width="9.85546875" customWidth="1"/>
  </cols>
  <sheetData>
    <row r="2" spans="1:1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5" ht="15.75">
      <c r="A3" s="141" t="s">
        <v>112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"/>
      <c r="O3" s="14"/>
    </row>
    <row r="4" spans="1:15" ht="15.75">
      <c r="A4" s="141" t="s">
        <v>113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"/>
      <c r="O4" s="14"/>
    </row>
    <row r="5" spans="1: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5" customFormat="1">
      <c r="A7" s="13" t="s">
        <v>114</v>
      </c>
      <c r="B7" s="15">
        <v>2011</v>
      </c>
      <c r="C7" s="15">
        <v>2012</v>
      </c>
      <c r="D7" s="15" t="s">
        <v>115</v>
      </c>
      <c r="E7" s="15">
        <v>2013</v>
      </c>
      <c r="F7" s="15" t="s">
        <v>115</v>
      </c>
      <c r="G7" s="16">
        <v>2014</v>
      </c>
      <c r="H7" s="16" t="s">
        <v>115</v>
      </c>
      <c r="I7" s="16">
        <v>2015</v>
      </c>
      <c r="J7" s="16" t="s">
        <v>115</v>
      </c>
      <c r="K7" s="16">
        <v>2016</v>
      </c>
      <c r="L7" s="16" t="s">
        <v>115</v>
      </c>
      <c r="M7" s="17" t="s">
        <v>116</v>
      </c>
      <c r="N7" s="105"/>
      <c r="O7" s="105"/>
    </row>
    <row r="8" spans="1:15">
      <c r="A8" s="12" t="s">
        <v>117</v>
      </c>
      <c r="B8" s="11">
        <v>3036093.5</v>
      </c>
      <c r="C8" s="121">
        <v>3662965.47</v>
      </c>
      <c r="D8">
        <f t="shared" ref="D8:D14" si="0">C8/B8-1</f>
        <v>0.20647320973481231</v>
      </c>
      <c r="E8" s="121">
        <v>4100939.51</v>
      </c>
      <c r="F8">
        <f t="shared" ref="F8:F14" si="1">E8/C8-1</f>
        <v>0.11956815962013412</v>
      </c>
      <c r="G8" s="121">
        <v>3343283.6999999955</v>
      </c>
      <c r="H8">
        <f t="shared" ref="H8:L14" si="2">G8/E8-1</f>
        <v>-0.18475176435850538</v>
      </c>
      <c r="I8" s="11">
        <v>3292562</v>
      </c>
      <c r="J8">
        <f t="shared" si="2"/>
        <v>-1.517122223279932E-2</v>
      </c>
      <c r="K8" s="11">
        <f>[1]Plan3!$B$10</f>
        <v>4865518.4400000004</v>
      </c>
      <c r="L8">
        <f t="shared" si="2"/>
        <v>0.47773024167806111</v>
      </c>
      <c r="M8">
        <f t="shared" ref="M8:M14" si="3">K8/B8-1</f>
        <v>0.60255882765138824</v>
      </c>
    </row>
    <row r="9" spans="1:15">
      <c r="A9" s="10" t="s">
        <v>118</v>
      </c>
      <c r="B9" s="9">
        <v>32322972.699999999</v>
      </c>
      <c r="C9" s="122">
        <v>30965087.489999998</v>
      </c>
      <c r="D9">
        <f t="shared" si="0"/>
        <v>-4.200991111191954E-2</v>
      </c>
      <c r="E9" s="123">
        <v>35723456.350000001</v>
      </c>
      <c r="F9">
        <f t="shared" si="1"/>
        <v>0.15366883305389312</v>
      </c>
      <c r="G9" s="122">
        <v>37403154.410000004</v>
      </c>
      <c r="H9">
        <f t="shared" si="2"/>
        <v>4.7019472123390971E-2</v>
      </c>
      <c r="I9" s="8">
        <v>40729224.700000003</v>
      </c>
      <c r="J9">
        <f t="shared" si="2"/>
        <v>8.8924860548947438E-2</v>
      </c>
      <c r="K9" s="8">
        <f>[1]Plan3!$B$8</f>
        <v>37090602.399999999</v>
      </c>
      <c r="L9">
        <f t="shared" si="2"/>
        <v>-8.9336890814914138E-2</v>
      </c>
      <c r="M9">
        <f t="shared" si="3"/>
        <v>0.14749972857539806</v>
      </c>
    </row>
    <row r="10" spans="1:15">
      <c r="A10" s="12" t="s">
        <v>119</v>
      </c>
      <c r="B10" s="11">
        <v>1761356.72</v>
      </c>
      <c r="C10" s="121">
        <v>5245373.92</v>
      </c>
      <c r="D10">
        <f t="shared" si="0"/>
        <v>1.9780304355383502</v>
      </c>
      <c r="E10" s="121">
        <v>1875235</v>
      </c>
      <c r="F10">
        <f t="shared" si="1"/>
        <v>-0.64249736461113915</v>
      </c>
      <c r="G10" s="121">
        <v>899801</v>
      </c>
      <c r="H10">
        <f t="shared" si="2"/>
        <v>-0.52016627249384739</v>
      </c>
      <c r="I10" s="11">
        <f>'[3]2015 (2)'!$D$122</f>
        <v>1246008</v>
      </c>
      <c r="J10">
        <f t="shared" si="2"/>
        <v>0.38475951904921191</v>
      </c>
      <c r="K10" s="11">
        <f>[1]Plan3!$B$7</f>
        <v>7300916.7000000002</v>
      </c>
      <c r="L10">
        <f t="shared" si="2"/>
        <v>4.8594460870235183</v>
      </c>
      <c r="M10">
        <f t="shared" si="3"/>
        <v>3.1450528544836738</v>
      </c>
    </row>
    <row r="11" spans="1:15">
      <c r="A11" s="10" t="s">
        <v>120</v>
      </c>
      <c r="B11" s="9">
        <v>40000</v>
      </c>
      <c r="C11" s="122">
        <v>371558.61</v>
      </c>
      <c r="D11">
        <f t="shared" si="0"/>
        <v>8.2889652500000004</v>
      </c>
      <c r="E11" s="123">
        <v>239719.82</v>
      </c>
      <c r="F11">
        <f t="shared" si="1"/>
        <v>-0.35482636238734988</v>
      </c>
      <c r="G11" s="122">
        <v>386500</v>
      </c>
      <c r="H11">
        <f t="shared" si="2"/>
        <v>0.61229889126397641</v>
      </c>
      <c r="I11" s="8">
        <f>'[3]2015 (2)'!$D$114</f>
        <v>27000</v>
      </c>
      <c r="J11">
        <f t="shared" si="2"/>
        <v>-0.93014230271668819</v>
      </c>
      <c r="K11" s="8">
        <f>[1]Plan3!$B$6</f>
        <v>30000</v>
      </c>
      <c r="L11">
        <f t="shared" si="2"/>
        <v>0.11111111111111116</v>
      </c>
      <c r="M11">
        <f t="shared" si="3"/>
        <v>-0.25</v>
      </c>
    </row>
    <row r="12" spans="1:15">
      <c r="A12" s="12" t="s">
        <v>121</v>
      </c>
      <c r="B12" s="11">
        <v>13052631.689999999</v>
      </c>
      <c r="C12" s="121">
        <v>17010514.809999999</v>
      </c>
      <c r="D12">
        <f t="shared" si="0"/>
        <v>0.30322491387175576</v>
      </c>
      <c r="E12" s="121">
        <v>17481029.5</v>
      </c>
      <c r="F12">
        <f t="shared" si="1"/>
        <v>2.7660226351491568E-2</v>
      </c>
      <c r="G12" s="121">
        <v>19543039.810000002</v>
      </c>
      <c r="H12">
        <f t="shared" si="2"/>
        <v>0.11795702936145736</v>
      </c>
      <c r="I12" s="11">
        <f>'[3]2015 (2)'!$D$112</f>
        <v>22543440.41</v>
      </c>
      <c r="J12">
        <f t="shared" si="2"/>
        <v>0.15352783544270943</v>
      </c>
      <c r="K12" s="11">
        <f>[1]Plan3!$B$5</f>
        <v>24196406</v>
      </c>
      <c r="L12">
        <f t="shared" si="2"/>
        <v>7.3323572619677257E-2</v>
      </c>
      <c r="M12">
        <f t="shared" si="3"/>
        <v>0.85375689551843936</v>
      </c>
    </row>
    <row r="13" spans="1:15">
      <c r="A13" s="10" t="s">
        <v>122</v>
      </c>
      <c r="B13" s="9">
        <v>1152263.69</v>
      </c>
      <c r="C13" s="122">
        <v>1072089.56</v>
      </c>
      <c r="D13">
        <f t="shared" si="0"/>
        <v>-6.9579672340451815E-2</v>
      </c>
      <c r="E13" s="123">
        <v>1300271.81</v>
      </c>
      <c r="F13">
        <f t="shared" si="1"/>
        <v>0.2128387949230659</v>
      </c>
      <c r="G13" s="122">
        <v>1320116.2800000003</v>
      </c>
      <c r="H13">
        <f t="shared" si="2"/>
        <v>1.5261785918438298E-2</v>
      </c>
      <c r="I13" s="8">
        <f>'[3]2015 (2)'!$D$33</f>
        <v>1262602.3000000003</v>
      </c>
      <c r="J13">
        <f t="shared" si="2"/>
        <v>-4.3567359081428725E-2</v>
      </c>
      <c r="K13" s="8">
        <f>[1]Plan3!$B$4</f>
        <v>1450120.9</v>
      </c>
      <c r="L13">
        <f t="shared" si="2"/>
        <v>0.14851754982546739</v>
      </c>
      <c r="M13">
        <f t="shared" si="3"/>
        <v>0.25849743646786272</v>
      </c>
    </row>
    <row r="14" spans="1:15">
      <c r="A14" s="7" t="s">
        <v>123</v>
      </c>
      <c r="B14" s="6">
        <f>SUM(B8:B13)</f>
        <v>51365318.299999997</v>
      </c>
      <c r="C14" s="6">
        <f t="shared" ref="C14" si="4">SUM(C8:C13)</f>
        <v>58327589.859999999</v>
      </c>
      <c r="D14">
        <f t="shared" si="0"/>
        <v>0.13554421135554429</v>
      </c>
      <c r="E14" s="6">
        <f>SUM(E8:E13)</f>
        <v>60720651.990000002</v>
      </c>
      <c r="F14">
        <f t="shared" si="1"/>
        <v>4.1027961822936998E-2</v>
      </c>
      <c r="G14" s="6">
        <f>SUM(G8:G13)</f>
        <v>62895895.200000003</v>
      </c>
      <c r="H14">
        <f t="shared" si="2"/>
        <v>3.5823778874414014E-2</v>
      </c>
      <c r="I14" s="6">
        <f>SUM(I8:I13)</f>
        <v>69100837.409999996</v>
      </c>
      <c r="J14">
        <f t="shared" si="2"/>
        <v>9.8654167975019025E-2</v>
      </c>
      <c r="K14" s="6">
        <f>SUM(K8:K13)</f>
        <v>74933564.439999998</v>
      </c>
      <c r="L14">
        <f t="shared" si="2"/>
        <v>8.4408919611094424E-2</v>
      </c>
      <c r="M14">
        <f t="shared" si="3"/>
        <v>0.45883578492299537</v>
      </c>
    </row>
    <row r="15" spans="1:15">
      <c r="A15" t="s">
        <v>124</v>
      </c>
      <c r="I15" s="111"/>
      <c r="J15" s="111"/>
      <c r="K15" s="111"/>
    </row>
    <row r="16" spans="1:15">
      <c r="A16" s="35" t="s">
        <v>125</v>
      </c>
      <c r="B16" s="124">
        <f>'Exec Orç 09 a 16'!E8</f>
        <v>35726342.229999997</v>
      </c>
      <c r="C16" s="124">
        <f>'Exec Orç 09 a 16'!E9</f>
        <v>56980794.280000001</v>
      </c>
      <c r="D16">
        <f>C16/B16-1</f>
        <v>0.59492382156470214</v>
      </c>
      <c r="E16" s="124">
        <f>'Exec Orç 09 a 16'!E10</f>
        <v>52525216.359999999</v>
      </c>
      <c r="F16">
        <f>E16/C16-1</f>
        <v>-7.8194380690896903E-2</v>
      </c>
      <c r="G16" s="124">
        <f>'Exec Orç 09 a 16'!E11</f>
        <v>62147153.909999996</v>
      </c>
      <c r="H16">
        <f>G16/E16-1</f>
        <v>0.18318701410104943</v>
      </c>
      <c r="I16" s="124">
        <f>'Exec Orç 09 a 16'!E12</f>
        <v>67154606.349999994</v>
      </c>
      <c r="J16">
        <f>I16/G16-1</f>
        <v>8.0574123269613773E-2</v>
      </c>
      <c r="K16" s="125">
        <f>'Exec Orç 09 a 16'!E13</f>
        <v>75720020.780000001</v>
      </c>
      <c r="L16">
        <f>K16/G16-1</f>
        <v>0.21839884879774063</v>
      </c>
    </row>
    <row r="17" spans="1:12">
      <c r="A17" s="34" t="s">
        <v>126</v>
      </c>
      <c r="B17" s="126">
        <f>B16-B14</f>
        <v>-15638976.07</v>
      </c>
      <c r="C17" s="126">
        <f t="shared" ref="C17:K17" si="5">C16-C14</f>
        <v>-1346795.5799999982</v>
      </c>
      <c r="D17" s="126"/>
      <c r="E17" s="126">
        <f t="shared" si="5"/>
        <v>-8195435.6300000027</v>
      </c>
      <c r="F17" s="126"/>
      <c r="G17" s="126">
        <f t="shared" si="5"/>
        <v>-748741.29000000656</v>
      </c>
      <c r="H17" s="126"/>
      <c r="I17" s="126">
        <f t="shared" si="5"/>
        <v>-1946231.0600000024</v>
      </c>
      <c r="J17" s="127"/>
      <c r="K17" s="126">
        <f t="shared" si="5"/>
        <v>786456.34000000358</v>
      </c>
      <c r="L17" s="119"/>
    </row>
    <row r="19" spans="1:12">
      <c r="A19" t="s">
        <v>127</v>
      </c>
    </row>
    <row r="20" spans="1:12">
      <c r="A20" t="s">
        <v>128</v>
      </c>
    </row>
  </sheetData>
  <mergeCells count="3">
    <mergeCell ref="A4:M4"/>
    <mergeCell ref="A3:M3"/>
    <mergeCell ref="A2:M2"/>
  </mergeCells>
  <pageMargins left="1.95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Demostrativo Rec</vt:lpstr>
      <vt:lpstr>Exec Orç 09 a 16</vt:lpstr>
      <vt:lpstr>Comp 12 x 13 x 14 x 15 x 16</vt:lpstr>
      <vt:lpstr>Receitas</vt:lpstr>
      <vt:lpstr>Desp Correntes</vt:lpstr>
      <vt:lpstr>Repasses Sus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04460689189</cp:lastModifiedBy>
  <cp:revision/>
  <dcterms:created xsi:type="dcterms:W3CDTF">2015-03-10T02:27:04Z</dcterms:created>
  <dcterms:modified xsi:type="dcterms:W3CDTF">2017-12-06T11:20:22Z</dcterms:modified>
</cp:coreProperties>
</file>