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Rone Von - Expresso Miracema\SETURB\Tarifa\Cálculo tarifário 2016 - 2017\"/>
    </mc:Choice>
  </mc:AlternateContent>
  <bookViews>
    <workbookView xWindow="0" yWindow="60" windowWidth="20730" windowHeight="9680" firstSheet="9" activeTab="12"/>
  </bookViews>
  <sheets>
    <sheet name="Operação" sheetId="33" r:id="rId1"/>
    <sheet name="Diretoria" sheetId="34" r:id="rId2"/>
    <sheet name="Encargos" sheetId="36" r:id="rId3"/>
    <sheet name="Combustível" sheetId="2" r:id="rId4"/>
    <sheet name="Lubrificante" sheetId="28" r:id="rId5"/>
    <sheet name="Rodagem" sheetId="4" r:id="rId6"/>
    <sheet name="Peças e acessórios" sheetId="9" r:id="rId7"/>
    <sheet name="Quilometragem" sheetId="30" r:id="rId8"/>
    <sheet name="Preço médio de veículo" sheetId="32" r:id="rId9"/>
    <sheet name="Rem dep frota" sheetId="24" r:id="rId10"/>
    <sheet name="Bilhetagem" sheetId="37" r:id="rId11"/>
    <sheet name="Demanda" sheetId="38" r:id="rId12"/>
    <sheet name="Insumos" sheetId="3" r:id="rId13"/>
    <sheet name="Idade Frota" sheetId="39" r:id="rId14"/>
    <sheet name="Planilha de custos" sheetId="31" r:id="rId15"/>
    <sheet name="Plan1" sheetId="40" r:id="rId16"/>
  </sheets>
  <definedNames>
    <definedName name="_xlnm.Print_Area" localSheetId="1">Diretoria!$A$1:$J$14</definedName>
  </definedNames>
  <calcPr calcId="171027"/>
</workbook>
</file>

<file path=xl/calcChain.xml><?xml version="1.0" encoding="utf-8"?>
<calcChain xmlns="http://schemas.openxmlformats.org/spreadsheetml/2006/main">
  <c r="B28" i="31" l="1"/>
  <c r="D2" i="3" l="1"/>
  <c r="D17" i="30" l="1"/>
  <c r="E17" i="30" s="1"/>
  <c r="D16" i="30"/>
  <c r="E16" i="30" s="1"/>
  <c r="D15" i="30"/>
  <c r="E15" i="30" s="1"/>
  <c r="D14" i="30"/>
  <c r="E14" i="30" s="1"/>
  <c r="B8" i="33" l="1"/>
  <c r="D16" i="3"/>
  <c r="D14" i="3"/>
  <c r="D15" i="3"/>
  <c r="F8" i="33" l="1"/>
  <c r="D13" i="3"/>
  <c r="B12" i="36"/>
  <c r="C18" i="30" l="1"/>
  <c r="D25" i="3" l="1"/>
  <c r="C19" i="30"/>
  <c r="F93" i="24"/>
  <c r="F94" i="24"/>
  <c r="F95" i="24"/>
  <c r="F96" i="24"/>
  <c r="F97" i="24"/>
  <c r="F98" i="24"/>
  <c r="F99" i="24"/>
  <c r="F100" i="24"/>
  <c r="F101" i="24"/>
  <c r="F102" i="24"/>
  <c r="F92" i="24"/>
  <c r="F67" i="24"/>
  <c r="F68" i="24"/>
  <c r="F69" i="24"/>
  <c r="F70" i="24"/>
  <c r="F71" i="24"/>
  <c r="F72" i="24"/>
  <c r="F73" i="24"/>
  <c r="F74" i="24"/>
  <c r="F75" i="24"/>
  <c r="F76" i="24"/>
  <c r="F66" i="24"/>
  <c r="F41" i="24"/>
  <c r="F42" i="24"/>
  <c r="F43" i="24"/>
  <c r="F44" i="24"/>
  <c r="F45" i="24"/>
  <c r="F46" i="24"/>
  <c r="F47" i="24"/>
  <c r="F48" i="24"/>
  <c r="F49" i="24"/>
  <c r="F50" i="24"/>
  <c r="F40" i="24"/>
  <c r="F15" i="24"/>
  <c r="F16" i="24"/>
  <c r="F17" i="24"/>
  <c r="F18" i="24"/>
  <c r="F19" i="24"/>
  <c r="F20" i="24"/>
  <c r="F21" i="24"/>
  <c r="F22" i="24"/>
  <c r="F23" i="24"/>
  <c r="F24" i="24"/>
  <c r="F14" i="24"/>
  <c r="G14" i="39"/>
  <c r="G13" i="39"/>
  <c r="G12" i="39"/>
  <c r="G11" i="39"/>
  <c r="G10" i="39"/>
  <c r="G9" i="39"/>
  <c r="G8" i="39"/>
  <c r="G7" i="39"/>
  <c r="G6" i="39"/>
  <c r="G5" i="39"/>
  <c r="G4" i="39"/>
  <c r="D15" i="39"/>
  <c r="D16" i="39" s="1"/>
  <c r="E15" i="39"/>
  <c r="E16" i="39" s="1"/>
  <c r="F15" i="39"/>
  <c r="F16" i="39" s="1"/>
  <c r="C15" i="39"/>
  <c r="C16" i="39" s="1"/>
  <c r="G15" i="39" l="1"/>
  <c r="G16" i="39" s="1"/>
  <c r="B11" i="38"/>
  <c r="C6" i="38"/>
  <c r="E6" i="38" s="1"/>
  <c r="C7" i="38"/>
  <c r="E7" i="38" s="1"/>
  <c r="C8" i="38"/>
  <c r="E8" i="38" s="1"/>
  <c r="C9" i="38"/>
  <c r="E9" i="38" s="1"/>
  <c r="C10" i="38"/>
  <c r="E10" i="38" s="1"/>
  <c r="C5" i="38"/>
  <c r="D5" i="33"/>
  <c r="C11" i="38" l="1"/>
  <c r="E5" i="38"/>
  <c r="E11" i="38" s="1"/>
  <c r="D4" i="4"/>
  <c r="C4" i="4"/>
  <c r="G4" i="4" l="1"/>
  <c r="B5" i="2" l="1"/>
  <c r="B4" i="2"/>
  <c r="B3" i="2"/>
  <c r="B2" i="2"/>
  <c r="B15" i="37" l="1"/>
  <c r="D58" i="3" s="1"/>
  <c r="C29" i="31" s="1"/>
  <c r="B14" i="37"/>
  <c r="B25" i="31"/>
  <c r="B27" i="31"/>
  <c r="B24" i="31"/>
  <c r="B10" i="33"/>
  <c r="C10" i="33" s="1"/>
  <c r="B9" i="33"/>
  <c r="D9" i="33" s="1"/>
  <c r="C5" i="33"/>
  <c r="B5" i="33"/>
  <c r="D6" i="33"/>
  <c r="C6" i="33"/>
  <c r="B6" i="33"/>
  <c r="B29" i="36"/>
  <c r="B22" i="36"/>
  <c r="B19" i="36"/>
  <c r="D8" i="34"/>
  <c r="D7" i="34"/>
  <c r="I6" i="34"/>
  <c r="D6" i="34"/>
  <c r="J6" i="34" s="1"/>
  <c r="C8" i="33"/>
  <c r="C9" i="33" l="1"/>
  <c r="D10" i="33"/>
  <c r="J7" i="34"/>
  <c r="I7" i="34"/>
  <c r="B24" i="36"/>
  <c r="B25" i="36" s="1"/>
  <c r="B30" i="36" s="1"/>
  <c r="D45" i="3" s="1"/>
  <c r="B7" i="33" s="1"/>
  <c r="C7" i="33" s="1"/>
  <c r="D7" i="33" s="1"/>
  <c r="D8" i="33"/>
  <c r="J8" i="34" l="1"/>
  <c r="J9" i="34" s="1"/>
  <c r="D44" i="3" s="1"/>
  <c r="C22" i="31" s="1"/>
  <c r="I8" i="34"/>
  <c r="B3" i="32" l="1"/>
  <c r="B4" i="32"/>
  <c r="B2" i="32"/>
  <c r="B14" i="31"/>
  <c r="B11" i="31"/>
  <c r="C7" i="24"/>
  <c r="C85" i="24" s="1"/>
  <c r="C84" i="24"/>
  <c r="C58" i="24"/>
  <c r="C32" i="24"/>
  <c r="C6" i="24"/>
  <c r="C83" i="24"/>
  <c r="C57" i="24"/>
  <c r="C31" i="24"/>
  <c r="C5" i="24"/>
  <c r="D6" i="2"/>
  <c r="D5" i="2"/>
  <c r="E5" i="2" s="1"/>
  <c r="D4" i="2"/>
  <c r="E4" i="2" s="1"/>
  <c r="D3" i="2"/>
  <c r="E3" i="2" s="1"/>
  <c r="D2" i="2"/>
  <c r="E2" i="2" s="1"/>
  <c r="C3" i="9"/>
  <c r="C4" i="9"/>
  <c r="C5" i="9"/>
  <c r="C2" i="9"/>
  <c r="B3" i="28"/>
  <c r="B4" i="28"/>
  <c r="B5" i="28"/>
  <c r="B2" i="28"/>
  <c r="D4" i="30"/>
  <c r="E4" i="30" s="1"/>
  <c r="D5" i="30"/>
  <c r="E5" i="30" s="1"/>
  <c r="D6" i="30"/>
  <c r="E6" i="30" s="1"/>
  <c r="D7" i="30"/>
  <c r="E7" i="30" s="1"/>
  <c r="D8" i="30"/>
  <c r="E8" i="30" s="1"/>
  <c r="D9" i="30"/>
  <c r="E9" i="30" s="1"/>
  <c r="D10" i="30"/>
  <c r="E10" i="30" s="1"/>
  <c r="D11" i="30"/>
  <c r="E11" i="30" s="1"/>
  <c r="D12" i="30"/>
  <c r="E12" i="30" s="1"/>
  <c r="D13" i="30"/>
  <c r="E13" i="30" s="1"/>
  <c r="D3" i="30"/>
  <c r="E3" i="30" s="1"/>
  <c r="B5" i="32"/>
  <c r="C33" i="24" l="1"/>
  <c r="C59" i="24"/>
  <c r="D18" i="30"/>
  <c r="D19" i="30" s="1"/>
  <c r="E18" i="30"/>
  <c r="E19" i="30" s="1"/>
  <c r="M4" i="31" s="1"/>
  <c r="D29" i="31" l="1"/>
  <c r="E66" i="24"/>
  <c r="C60" i="24"/>
  <c r="F77" i="24"/>
  <c r="B66" i="24"/>
  <c r="B4" i="9"/>
  <c r="D5" i="4"/>
  <c r="C5" i="4"/>
  <c r="I5" i="4"/>
  <c r="G5" i="4" l="1"/>
  <c r="C4" i="32"/>
  <c r="C4" i="2"/>
  <c r="G4" i="9"/>
  <c r="P5" i="24"/>
  <c r="K5" i="4"/>
  <c r="C61" i="24"/>
  <c r="J5" i="4"/>
  <c r="I66" i="24"/>
  <c r="B67" i="24"/>
  <c r="B68" i="24" l="1"/>
  <c r="C86" i="24"/>
  <c r="C34" i="24"/>
  <c r="C8" i="24"/>
  <c r="F103" i="24"/>
  <c r="C5" i="32" s="1"/>
  <c r="E92" i="24"/>
  <c r="B92" i="24"/>
  <c r="F51" i="24"/>
  <c r="C3" i="32" s="1"/>
  <c r="E40" i="24"/>
  <c r="B40" i="24"/>
  <c r="F25" i="24"/>
  <c r="C2" i="32" s="1"/>
  <c r="E14" i="24"/>
  <c r="B14" i="24"/>
  <c r="C6" i="32" l="1"/>
  <c r="B6" i="32" s="1"/>
  <c r="B15" i="31" s="1"/>
  <c r="C5" i="2"/>
  <c r="P6" i="24"/>
  <c r="G5" i="9"/>
  <c r="K6" i="4"/>
  <c r="C2" i="2"/>
  <c r="K3" i="4"/>
  <c r="G2" i="9"/>
  <c r="P3" i="24"/>
  <c r="C3" i="2"/>
  <c r="G3" i="9"/>
  <c r="P4" i="24"/>
  <c r="K4" i="4"/>
  <c r="B69" i="24"/>
  <c r="I14" i="24"/>
  <c r="J14" i="24" s="1"/>
  <c r="I40" i="24"/>
  <c r="J40" i="24" s="1"/>
  <c r="B41" i="24"/>
  <c r="I92" i="24"/>
  <c r="B93" i="24"/>
  <c r="B15" i="24"/>
  <c r="K7" i="4" l="1"/>
  <c r="C6" i="2"/>
  <c r="D2" i="9" s="1"/>
  <c r="E2" i="9" s="1"/>
  <c r="P7" i="24"/>
  <c r="C15" i="31" s="1"/>
  <c r="D15" i="31" s="1"/>
  <c r="G6" i="9"/>
  <c r="B26" i="31"/>
  <c r="B4" i="33"/>
  <c r="B11" i="33" s="1"/>
  <c r="B70" i="24"/>
  <c r="J66" i="24"/>
  <c r="B94" i="24"/>
  <c r="B16" i="24"/>
  <c r="J92" i="24"/>
  <c r="B42" i="24"/>
  <c r="B6" i="2" l="1"/>
  <c r="E6" i="2" s="1"/>
  <c r="D4" i="31" s="1"/>
  <c r="D5" i="31" s="1"/>
  <c r="C14" i="31"/>
  <c r="D14" i="31" s="1"/>
  <c r="C25" i="31"/>
  <c r="D25" i="31" s="1"/>
  <c r="C28" i="31"/>
  <c r="D28" i="31" s="1"/>
  <c r="C11" i="31"/>
  <c r="D11" i="31" s="1"/>
  <c r="C24" i="31"/>
  <c r="D24" i="31" s="1"/>
  <c r="B29" i="31"/>
  <c r="C27" i="31"/>
  <c r="D27" i="31" s="1"/>
  <c r="D3" i="9"/>
  <c r="E3" i="9" s="1"/>
  <c r="D5" i="9"/>
  <c r="E5" i="9" s="1"/>
  <c r="D4" i="9"/>
  <c r="E4" i="9" s="1"/>
  <c r="F4" i="9" s="1"/>
  <c r="C4" i="33"/>
  <c r="D4" i="33"/>
  <c r="C26" i="31"/>
  <c r="D26" i="31" s="1"/>
  <c r="B23" i="31"/>
  <c r="B71" i="24"/>
  <c r="B43" i="24"/>
  <c r="B95" i="24"/>
  <c r="B17" i="24"/>
  <c r="C11" i="33" l="1"/>
  <c r="C18" i="31" s="1"/>
  <c r="D11" i="33"/>
  <c r="C19" i="31" s="1"/>
  <c r="C23" i="31"/>
  <c r="D23" i="31"/>
  <c r="C17" i="31"/>
  <c r="B72" i="24"/>
  <c r="B96" i="24"/>
  <c r="B44" i="24"/>
  <c r="B18" i="24"/>
  <c r="B19" i="31" l="1"/>
  <c r="D19" i="31"/>
  <c r="B18" i="31"/>
  <c r="D18" i="31"/>
  <c r="D12" i="33"/>
  <c r="C20" i="31" s="1"/>
  <c r="B17" i="31"/>
  <c r="D17" i="31"/>
  <c r="C21" i="31"/>
  <c r="B73" i="24"/>
  <c r="B45" i="24"/>
  <c r="B19" i="24"/>
  <c r="B97" i="24"/>
  <c r="C16" i="31" l="1"/>
  <c r="D20" i="31"/>
  <c r="B20" i="31"/>
  <c r="B21" i="31"/>
  <c r="D21" i="31"/>
  <c r="B74" i="24"/>
  <c r="B46" i="24"/>
  <c r="B98" i="24"/>
  <c r="B20" i="24"/>
  <c r="D22" i="31" l="1"/>
  <c r="D16" i="31" s="1"/>
  <c r="B22" i="31"/>
  <c r="B16" i="31" s="1"/>
  <c r="B75" i="24"/>
  <c r="B99" i="24"/>
  <c r="B47" i="24"/>
  <c r="B21" i="24"/>
  <c r="B76" i="24" l="1"/>
  <c r="B100" i="24"/>
  <c r="B22" i="24"/>
  <c r="B48" i="24"/>
  <c r="B77" i="24" l="1"/>
  <c r="B49" i="24"/>
  <c r="B23" i="24"/>
  <c r="B101" i="24"/>
  <c r="C66" i="24" l="1"/>
  <c r="C67" i="24"/>
  <c r="C68" i="24"/>
  <c r="C69" i="24"/>
  <c r="C70" i="24"/>
  <c r="C71" i="24"/>
  <c r="C72" i="24"/>
  <c r="C73" i="24"/>
  <c r="C74" i="24"/>
  <c r="C75" i="24"/>
  <c r="C76" i="24"/>
  <c r="G76" i="24"/>
  <c r="B24" i="24"/>
  <c r="B50" i="24"/>
  <c r="B102" i="24"/>
  <c r="G69" i="24" l="1"/>
  <c r="G68" i="24"/>
  <c r="G73" i="24"/>
  <c r="G71" i="24"/>
  <c r="G70" i="24"/>
  <c r="G75" i="24"/>
  <c r="G67" i="24"/>
  <c r="G74" i="24"/>
  <c r="G72" i="24"/>
  <c r="D67" i="24"/>
  <c r="G66" i="24"/>
  <c r="B51" i="24"/>
  <c r="B103" i="24"/>
  <c r="C102" i="24" s="1"/>
  <c r="B25" i="24"/>
  <c r="C24" i="24" s="1"/>
  <c r="C40" i="24" l="1"/>
  <c r="C41" i="24"/>
  <c r="C42" i="24"/>
  <c r="C43" i="24"/>
  <c r="C44" i="24"/>
  <c r="C45" i="24"/>
  <c r="C46" i="24"/>
  <c r="C47" i="24"/>
  <c r="C48" i="24"/>
  <c r="C49" i="24"/>
  <c r="C92" i="24"/>
  <c r="C93" i="24"/>
  <c r="C94" i="24"/>
  <c r="C95" i="24"/>
  <c r="C96" i="24"/>
  <c r="C97" i="24"/>
  <c r="C98" i="24"/>
  <c r="C99" i="24"/>
  <c r="C100" i="24"/>
  <c r="C101" i="24"/>
  <c r="C14" i="24"/>
  <c r="C15" i="24"/>
  <c r="C16" i="24"/>
  <c r="C17" i="24"/>
  <c r="C18" i="24"/>
  <c r="C19" i="24"/>
  <c r="C20" i="24"/>
  <c r="C21" i="24"/>
  <c r="C22" i="24"/>
  <c r="C23" i="24"/>
  <c r="C50" i="24"/>
  <c r="E67" i="24"/>
  <c r="I67" i="24" s="1"/>
  <c r="J67" i="24" s="1"/>
  <c r="D68" i="24"/>
  <c r="D69" i="24" s="1"/>
  <c r="E68" i="24" l="1"/>
  <c r="I68" i="24" s="1"/>
  <c r="J68" i="24" s="1"/>
  <c r="E69" i="24"/>
  <c r="I69" i="24" s="1"/>
  <c r="D70" i="24"/>
  <c r="D93" i="24"/>
  <c r="D41" i="24"/>
  <c r="D15" i="24"/>
  <c r="E70" i="24" l="1"/>
  <c r="D71" i="24"/>
  <c r="J69" i="24"/>
  <c r="D16" i="24"/>
  <c r="E15" i="24"/>
  <c r="I15" i="24" s="1"/>
  <c r="D42" i="24"/>
  <c r="E41" i="24"/>
  <c r="I41" i="24" s="1"/>
  <c r="D94" i="24"/>
  <c r="E93" i="24"/>
  <c r="I93" i="24" s="1"/>
  <c r="I70" i="24" l="1"/>
  <c r="J70" i="24" s="1"/>
  <c r="E71" i="24"/>
  <c r="D72" i="24"/>
  <c r="J41" i="24"/>
  <c r="E42" i="24"/>
  <c r="I42" i="24" s="1"/>
  <c r="D43" i="24"/>
  <c r="J15" i="24"/>
  <c r="E16" i="24"/>
  <c r="I16" i="24" s="1"/>
  <c r="D17" i="24"/>
  <c r="J93" i="24"/>
  <c r="E94" i="24"/>
  <c r="I94" i="24" s="1"/>
  <c r="D95" i="24"/>
  <c r="I71" i="24" l="1"/>
  <c r="J71" i="24" s="1"/>
  <c r="E72" i="24"/>
  <c r="D73" i="24"/>
  <c r="J16" i="24"/>
  <c r="D44" i="24"/>
  <c r="E43" i="24"/>
  <c r="I43" i="24" s="1"/>
  <c r="J42" i="24"/>
  <c r="J94" i="24"/>
  <c r="E95" i="24"/>
  <c r="I95" i="24" s="1"/>
  <c r="D96" i="24"/>
  <c r="E17" i="24"/>
  <c r="I17" i="24" s="1"/>
  <c r="D18" i="24"/>
  <c r="I72" i="24" l="1"/>
  <c r="J72" i="24" s="1"/>
  <c r="E73" i="24"/>
  <c r="D74" i="24"/>
  <c r="J17" i="24"/>
  <c r="J95" i="24"/>
  <c r="E44" i="24"/>
  <c r="I44" i="24" s="1"/>
  <c r="D45" i="24"/>
  <c r="D19" i="24"/>
  <c r="E18" i="24"/>
  <c r="I18" i="24" s="1"/>
  <c r="E96" i="24"/>
  <c r="I96" i="24" s="1"/>
  <c r="D97" i="24"/>
  <c r="J43" i="24"/>
  <c r="I73" i="24" l="1"/>
  <c r="J73" i="24" s="1"/>
  <c r="E74" i="24"/>
  <c r="D75" i="24"/>
  <c r="D98" i="24"/>
  <c r="E97" i="24"/>
  <c r="I97" i="24" s="1"/>
  <c r="D20" i="24"/>
  <c r="E19" i="24"/>
  <c r="I19" i="24" s="1"/>
  <c r="J44" i="24"/>
  <c r="J96" i="24"/>
  <c r="J18" i="24"/>
  <c r="E45" i="24"/>
  <c r="I45" i="24" s="1"/>
  <c r="D46" i="24"/>
  <c r="I74" i="24" l="1"/>
  <c r="J74" i="24" s="1"/>
  <c r="E75" i="24"/>
  <c r="D76" i="24"/>
  <c r="E20" i="24"/>
  <c r="I20" i="24" s="1"/>
  <c r="D21" i="24"/>
  <c r="J97" i="24"/>
  <c r="D47" i="24"/>
  <c r="E46" i="24"/>
  <c r="I46" i="24" s="1"/>
  <c r="D99" i="24"/>
  <c r="E98" i="24"/>
  <c r="I98" i="24" s="1"/>
  <c r="J45" i="24"/>
  <c r="J19" i="24"/>
  <c r="I75" i="24" l="1"/>
  <c r="J75" i="24" s="1"/>
  <c r="E76" i="24"/>
  <c r="I76" i="24" s="1"/>
  <c r="E99" i="24"/>
  <c r="I99" i="24" s="1"/>
  <c r="D100" i="24"/>
  <c r="J46" i="24"/>
  <c r="J20" i="24"/>
  <c r="D22" i="24"/>
  <c r="E21" i="24"/>
  <c r="I21" i="24" s="1"/>
  <c r="J98" i="24"/>
  <c r="D48" i="24"/>
  <c r="E47" i="24"/>
  <c r="I47" i="24" s="1"/>
  <c r="J76" i="24" l="1"/>
  <c r="J77" i="24" s="1"/>
  <c r="J78" i="24" s="1"/>
  <c r="I77" i="24"/>
  <c r="I78" i="24" s="1"/>
  <c r="J21" i="24"/>
  <c r="J47" i="24"/>
  <c r="E48" i="24"/>
  <c r="I48" i="24" s="1"/>
  <c r="D49" i="24"/>
  <c r="D23" i="24"/>
  <c r="E22" i="24"/>
  <c r="I22" i="24" s="1"/>
  <c r="E100" i="24"/>
  <c r="I100" i="24" s="1"/>
  <c r="D101" i="24"/>
  <c r="J99" i="24"/>
  <c r="R5" i="24" l="1"/>
  <c r="J22" i="24"/>
  <c r="E23" i="24"/>
  <c r="I23" i="24" s="1"/>
  <c r="D24" i="24"/>
  <c r="E49" i="24"/>
  <c r="I49" i="24" s="1"/>
  <c r="D50" i="24"/>
  <c r="D102" i="24"/>
  <c r="E101" i="24"/>
  <c r="I101" i="24" s="1"/>
  <c r="J48" i="24"/>
  <c r="J100" i="24"/>
  <c r="E24" i="24" l="1"/>
  <c r="I24" i="24" s="1"/>
  <c r="J24" i="24" s="1"/>
  <c r="E102" i="24"/>
  <c r="I102" i="24" s="1"/>
  <c r="I103" i="24" s="1"/>
  <c r="I104" i="24" s="1"/>
  <c r="E50" i="24"/>
  <c r="I50" i="24" s="1"/>
  <c r="J50" i="24" s="1"/>
  <c r="J101" i="24"/>
  <c r="J49" i="24"/>
  <c r="J23" i="24"/>
  <c r="I25" i="24" l="1"/>
  <c r="I26" i="24" s="1"/>
  <c r="J102" i="24"/>
  <c r="J103" i="24" s="1"/>
  <c r="I51" i="24"/>
  <c r="I52" i="24" s="1"/>
  <c r="J25" i="24"/>
  <c r="R3" i="24" s="1"/>
  <c r="J51" i="24"/>
  <c r="J104" i="24" l="1"/>
  <c r="R6" i="24"/>
  <c r="R4" i="24"/>
  <c r="J26" i="24"/>
  <c r="J52" i="24"/>
  <c r="R7" i="24" l="1"/>
  <c r="C13" i="31" s="1"/>
  <c r="B3" i="9"/>
  <c r="B5" i="9"/>
  <c r="B2" i="9"/>
  <c r="I4" i="4"/>
  <c r="I6" i="4"/>
  <c r="I3" i="4"/>
  <c r="D6" i="4"/>
  <c r="D3" i="4"/>
  <c r="C6" i="4"/>
  <c r="C3" i="4"/>
  <c r="G3" i="4" l="1"/>
  <c r="G6" i="4"/>
  <c r="D13" i="31"/>
  <c r="C12" i="31"/>
  <c r="R8" i="24"/>
  <c r="B13" i="31" s="1"/>
  <c r="B12" i="31" s="1"/>
  <c r="F5" i="9"/>
  <c r="F3" i="9"/>
  <c r="F2" i="9"/>
  <c r="C9" i="24"/>
  <c r="C87" i="24"/>
  <c r="J6" i="4"/>
  <c r="F6" i="9" l="1"/>
  <c r="D7" i="31" s="1"/>
  <c r="D12" i="31"/>
  <c r="G97" i="24"/>
  <c r="G100" i="24"/>
  <c r="G102" i="24"/>
  <c r="G95" i="24"/>
  <c r="G96" i="24"/>
  <c r="G94" i="24"/>
  <c r="G98" i="24"/>
  <c r="G99" i="24"/>
  <c r="G101" i="24"/>
  <c r="G92" i="24"/>
  <c r="G93" i="24"/>
  <c r="G15" i="24"/>
  <c r="G20" i="24"/>
  <c r="G24" i="24"/>
  <c r="G14" i="24"/>
  <c r="G21" i="24"/>
  <c r="G18" i="24"/>
  <c r="G16" i="24"/>
  <c r="G23" i="24"/>
  <c r="G17" i="24"/>
  <c r="G19" i="24"/>
  <c r="G22" i="24"/>
  <c r="J4" i="4"/>
  <c r="C35" i="24"/>
  <c r="J3" i="4"/>
  <c r="J7" i="4" l="1"/>
  <c r="D6" i="31" s="1"/>
  <c r="H69" i="24"/>
  <c r="L69" i="24" s="1"/>
  <c r="K69" i="24"/>
  <c r="H73" i="24"/>
  <c r="L73" i="24" s="1"/>
  <c r="K73" i="24"/>
  <c r="K75" i="24"/>
  <c r="H75" i="24"/>
  <c r="L75" i="24" s="1"/>
  <c r="K71" i="24"/>
  <c r="H71" i="24"/>
  <c r="L71" i="24" s="1"/>
  <c r="K67" i="24"/>
  <c r="H67" i="24"/>
  <c r="L67" i="24" s="1"/>
  <c r="H70" i="24"/>
  <c r="L70" i="24" s="1"/>
  <c r="K70" i="24"/>
  <c r="K68" i="24"/>
  <c r="H68" i="24"/>
  <c r="L68" i="24" s="1"/>
  <c r="H66" i="24"/>
  <c r="G77" i="24"/>
  <c r="G78" i="24" s="1"/>
  <c r="K66" i="24"/>
  <c r="K72" i="24"/>
  <c r="H72" i="24"/>
  <c r="L72" i="24" s="1"/>
  <c r="K76" i="24"/>
  <c r="H76" i="24"/>
  <c r="L76" i="24" s="1"/>
  <c r="H74" i="24"/>
  <c r="L74" i="24" s="1"/>
  <c r="K74" i="24"/>
  <c r="H21" i="24"/>
  <c r="L21" i="24" s="1"/>
  <c r="K21" i="24"/>
  <c r="H99" i="24"/>
  <c r="L99" i="24" s="1"/>
  <c r="K99" i="24"/>
  <c r="G25" i="24"/>
  <c r="G26" i="24" s="1"/>
  <c r="K14" i="24"/>
  <c r="H14" i="24"/>
  <c r="H98" i="24"/>
  <c r="L98" i="24" s="1"/>
  <c r="K98" i="24"/>
  <c r="H18" i="24"/>
  <c r="L18" i="24" s="1"/>
  <c r="K18" i="24"/>
  <c r="H97" i="24"/>
  <c r="L97" i="24" s="1"/>
  <c r="K97" i="24"/>
  <c r="H22" i="24"/>
  <c r="L22" i="24" s="1"/>
  <c r="K22" i="24"/>
  <c r="H20" i="24"/>
  <c r="L20" i="24" s="1"/>
  <c r="K20" i="24"/>
  <c r="H15" i="24"/>
  <c r="L15" i="24" s="1"/>
  <c r="K15" i="24"/>
  <c r="H95" i="24"/>
  <c r="L95" i="24" s="1"/>
  <c r="K95" i="24"/>
  <c r="H23" i="24"/>
  <c r="L23" i="24" s="1"/>
  <c r="K23" i="24"/>
  <c r="H93" i="24"/>
  <c r="L93" i="24" s="1"/>
  <c r="K93" i="24"/>
  <c r="H102" i="24"/>
  <c r="L102" i="24" s="1"/>
  <c r="K102" i="24"/>
  <c r="H101" i="24"/>
  <c r="L101" i="24" s="1"/>
  <c r="K101" i="24"/>
  <c r="G48" i="24"/>
  <c r="G40" i="24"/>
  <c r="G50" i="24"/>
  <c r="G45" i="24"/>
  <c r="G43" i="24"/>
  <c r="G47" i="24"/>
  <c r="G49" i="24"/>
  <c r="G41" i="24"/>
  <c r="G42" i="24"/>
  <c r="G44" i="24"/>
  <c r="G46" i="24"/>
  <c r="H24" i="24"/>
  <c r="L24" i="24" s="1"/>
  <c r="K24" i="24"/>
  <c r="H94" i="24"/>
  <c r="L94" i="24" s="1"/>
  <c r="K94" i="24"/>
  <c r="H19" i="24"/>
  <c r="L19" i="24" s="1"/>
  <c r="K19" i="24"/>
  <c r="H96" i="24"/>
  <c r="L96" i="24" s="1"/>
  <c r="K96" i="24"/>
  <c r="H17" i="24"/>
  <c r="L17" i="24" s="1"/>
  <c r="K17" i="24"/>
  <c r="H16" i="24"/>
  <c r="L16" i="24" s="1"/>
  <c r="K16" i="24"/>
  <c r="H92" i="24"/>
  <c r="K92" i="24"/>
  <c r="G103" i="24"/>
  <c r="G104" i="24" s="1"/>
  <c r="H100" i="24"/>
  <c r="L100" i="24" s="1"/>
  <c r="K100" i="24"/>
  <c r="G51" i="24" l="1"/>
  <c r="G52" i="24" s="1"/>
  <c r="D8" i="31"/>
  <c r="E5" i="31" s="1"/>
  <c r="H77" i="24"/>
  <c r="H78" i="24" s="1"/>
  <c r="L66" i="24"/>
  <c r="L77" i="24" s="1"/>
  <c r="L78" i="24" s="1"/>
  <c r="K77" i="24"/>
  <c r="K78" i="24" s="1"/>
  <c r="K25" i="24"/>
  <c r="K26" i="24" s="1"/>
  <c r="H47" i="24"/>
  <c r="L47" i="24" s="1"/>
  <c r="K47" i="24"/>
  <c r="H43" i="24"/>
  <c r="L43" i="24" s="1"/>
  <c r="K43" i="24"/>
  <c r="H45" i="24"/>
  <c r="L45" i="24" s="1"/>
  <c r="K45" i="24"/>
  <c r="H46" i="24"/>
  <c r="L46" i="24" s="1"/>
  <c r="K46" i="24"/>
  <c r="H44" i="24"/>
  <c r="L44" i="24" s="1"/>
  <c r="K44" i="24"/>
  <c r="H42" i="24"/>
  <c r="L42" i="24" s="1"/>
  <c r="K42" i="24"/>
  <c r="H48" i="24"/>
  <c r="L48" i="24" s="1"/>
  <c r="K48" i="24"/>
  <c r="H103" i="24"/>
  <c r="H104" i="24" s="1"/>
  <c r="L92" i="24"/>
  <c r="L103" i="24" s="1"/>
  <c r="L104" i="24" s="1"/>
  <c r="H41" i="24"/>
  <c r="L41" i="24" s="1"/>
  <c r="K41" i="24"/>
  <c r="K103" i="24"/>
  <c r="K104" i="24" s="1"/>
  <c r="H50" i="24"/>
  <c r="L50" i="24" s="1"/>
  <c r="K50" i="24"/>
  <c r="K40" i="24"/>
  <c r="H40" i="24"/>
  <c r="H49" i="24"/>
  <c r="L49" i="24" s="1"/>
  <c r="K49" i="24"/>
  <c r="L14" i="24"/>
  <c r="L25" i="24" s="1"/>
  <c r="L26" i="24" s="1"/>
  <c r="H25" i="24"/>
  <c r="E6" i="31" l="1"/>
  <c r="E7" i="31"/>
  <c r="E8" i="31"/>
  <c r="E4" i="31"/>
  <c r="Q5" i="24"/>
  <c r="Q6" i="24"/>
  <c r="H26" i="24"/>
  <c r="Q3" i="24"/>
  <c r="K51" i="24"/>
  <c r="K52" i="24" s="1"/>
  <c r="L40" i="24"/>
  <c r="L51" i="24" s="1"/>
  <c r="L52" i="24" s="1"/>
  <c r="H51" i="24"/>
  <c r="H52" i="24" l="1"/>
  <c r="Q4" i="24"/>
  <c r="Q7" i="24" s="1"/>
  <c r="Q8" i="24" l="1"/>
  <c r="B10" i="31" s="1"/>
  <c r="B9" i="31" s="1"/>
  <c r="B30" i="31" s="1"/>
  <c r="C10" i="31"/>
  <c r="D10" i="31" l="1"/>
  <c r="C9" i="31"/>
  <c r="C30" i="31" s="1"/>
  <c r="D9" i="31" l="1"/>
  <c r="D30" i="31" l="1"/>
  <c r="E30" i="31" l="1"/>
  <c r="E14" i="31"/>
  <c r="E11" i="31"/>
  <c r="E25" i="31"/>
  <c r="E27" i="31"/>
  <c r="E15" i="31"/>
  <c r="E29" i="31"/>
  <c r="E28" i="31"/>
  <c r="E24" i="31"/>
  <c r="E23" i="31"/>
  <c r="E18" i="31"/>
  <c r="E26" i="31"/>
  <c r="E19" i="31"/>
  <c r="E17" i="31"/>
  <c r="E22" i="31"/>
  <c r="E21" i="31"/>
  <c r="E20" i="31"/>
  <c r="E16" i="31"/>
  <c r="E13" i="31"/>
  <c r="E12" i="31"/>
  <c r="D31" i="31"/>
  <c r="E10" i="31"/>
  <c r="E9" i="31"/>
  <c r="D34" i="31" l="1"/>
  <c r="D35" i="31"/>
  <c r="D36" i="31"/>
  <c r="D33" i="31"/>
  <c r="F30" i="31"/>
  <c r="F5" i="31"/>
  <c r="F31" i="31"/>
  <c r="F24" i="31"/>
  <c r="F15" i="31"/>
  <c r="F14" i="31"/>
  <c r="F11" i="31"/>
  <c r="F25" i="31"/>
  <c r="F29" i="31"/>
  <c r="F28" i="31"/>
  <c r="F27" i="31"/>
  <c r="F23" i="31"/>
  <c r="F18" i="31"/>
  <c r="F26" i="31"/>
  <c r="F19" i="31"/>
  <c r="F4" i="31"/>
  <c r="F17" i="31"/>
  <c r="F22" i="31"/>
  <c r="F21" i="31"/>
  <c r="F20" i="31"/>
  <c r="F16" i="31"/>
  <c r="F7" i="31"/>
  <c r="F13" i="31"/>
  <c r="F12" i="31"/>
  <c r="F6" i="31"/>
  <c r="F8" i="31"/>
  <c r="F10" i="31"/>
  <c r="F9" i="31"/>
  <c r="D32" i="31" l="1"/>
  <c r="D37" i="31" s="1"/>
  <c r="M3" i="31" s="1"/>
  <c r="M6" i="31" s="1"/>
  <c r="G25" i="31" l="1"/>
  <c r="G21" i="31"/>
  <c r="G9" i="31"/>
  <c r="G10" i="31"/>
  <c r="G8" i="31"/>
  <c r="G22" i="31"/>
  <c r="G20" i="31"/>
  <c r="G26" i="31"/>
  <c r="G27" i="31"/>
  <c r="G5" i="31"/>
  <c r="G36" i="31"/>
  <c r="G6" i="31"/>
  <c r="G17" i="31"/>
  <c r="G11" i="31"/>
  <c r="G35" i="31"/>
  <c r="G12" i="31"/>
  <c r="G4" i="31"/>
  <c r="G15" i="31"/>
  <c r="G31" i="31"/>
  <c r="G13" i="31"/>
  <c r="G19" i="31"/>
  <c r="G28" i="31"/>
  <c r="G34" i="31"/>
  <c r="G7" i="31"/>
  <c r="G23" i="31"/>
  <c r="G14" i="31"/>
  <c r="G33" i="31"/>
  <c r="G30" i="31"/>
  <c r="G16" i="31"/>
  <c r="G18" i="31"/>
  <c r="G29" i="31"/>
  <c r="G32" i="31"/>
  <c r="G24" i="31"/>
  <c r="G37" i="31"/>
</calcChain>
</file>

<file path=xl/sharedStrings.xml><?xml version="1.0" encoding="utf-8"?>
<sst xmlns="http://schemas.openxmlformats.org/spreadsheetml/2006/main" count="502" uniqueCount="233">
  <si>
    <t>Consumo (L/Km)</t>
  </si>
  <si>
    <t>Tipo</t>
  </si>
  <si>
    <t>Item</t>
  </si>
  <si>
    <t>Litro</t>
  </si>
  <si>
    <t>Medida</t>
  </si>
  <si>
    <t>Valor</t>
  </si>
  <si>
    <t>Valor (R$/Km)</t>
  </si>
  <si>
    <t>Unidade</t>
  </si>
  <si>
    <t>Tipo Pneu</t>
  </si>
  <si>
    <t>Vida útil (km)</t>
  </si>
  <si>
    <t>Coeficiente por Km</t>
  </si>
  <si>
    <t>Coeficiente</t>
  </si>
  <si>
    <t>Peças e acessórios (R$/Km)</t>
  </si>
  <si>
    <t>Encargos</t>
  </si>
  <si>
    <t>FU</t>
  </si>
  <si>
    <t>Remuneração</t>
  </si>
  <si>
    <t>Depreciação</t>
  </si>
  <si>
    <t>R$/km</t>
  </si>
  <si>
    <t>R$/mês</t>
  </si>
  <si>
    <t>Combustível</t>
  </si>
  <si>
    <t>Seguro Obrigatório</t>
  </si>
  <si>
    <t>IPVA</t>
  </si>
  <si>
    <t>PIS</t>
  </si>
  <si>
    <t>COFINS</t>
  </si>
  <si>
    <t>Frota</t>
  </si>
  <si>
    <t>Licenciamento</t>
  </si>
  <si>
    <t>Média</t>
  </si>
  <si>
    <t>Rodagem</t>
  </si>
  <si>
    <t>Total</t>
  </si>
  <si>
    <t>Micro</t>
  </si>
  <si>
    <t>Observação</t>
  </si>
  <si>
    <t>Óleo Diesel</t>
  </si>
  <si>
    <t>Pneu Micro</t>
  </si>
  <si>
    <t>Recapagem Micro</t>
  </si>
  <si>
    <t>Valor Pneu (R$)</t>
  </si>
  <si>
    <t>Valor Rec. (R$)</t>
  </si>
  <si>
    <t>Quantidade Pneu</t>
  </si>
  <si>
    <t>Quantidade Rec</t>
  </si>
  <si>
    <t>Valor Conjunto (R$)</t>
  </si>
  <si>
    <t>Tipo Veículo</t>
  </si>
  <si>
    <t>Veículo Novo Completo (R$)</t>
  </si>
  <si>
    <t>Grupo</t>
  </si>
  <si>
    <t>Preço Veículo</t>
  </si>
  <si>
    <t>Coeficiente anual (%)</t>
  </si>
  <si>
    <t>km/ano</t>
  </si>
  <si>
    <t xml:space="preserve">Planilha de Depreciação e Remuneração de veículos </t>
  </si>
  <si>
    <t>Vida Útil (anos)</t>
  </si>
  <si>
    <t>Valor Residual (%)</t>
  </si>
  <si>
    <t>Taxa Remuneração ao ano</t>
  </si>
  <si>
    <t>Valor Veículo completo</t>
  </si>
  <si>
    <t>Valor Veículo sem rodagem</t>
  </si>
  <si>
    <t>Idade em anos</t>
  </si>
  <si>
    <t>Coeficientes</t>
  </si>
  <si>
    <t>Anual</t>
  </si>
  <si>
    <t>Mensal</t>
  </si>
  <si>
    <t>0 a 1 ano</t>
  </si>
  <si>
    <t>1 a 2 anos</t>
  </si>
  <si>
    <t>2 a 3 anos</t>
  </si>
  <si>
    <t>3 a 4 anos</t>
  </si>
  <si>
    <t>4 a 5 anos</t>
  </si>
  <si>
    <t>5 a 6 anos</t>
  </si>
  <si>
    <t>6 a 7 anos</t>
  </si>
  <si>
    <t>7 a 8 anos</t>
  </si>
  <si>
    <t>8 a 9 anos</t>
  </si>
  <si>
    <t>9 a 10 anos</t>
  </si>
  <si>
    <t>Acima de 10 anos</t>
  </si>
  <si>
    <t>Acima de 7 anos</t>
  </si>
  <si>
    <t>Motoristas</t>
  </si>
  <si>
    <t>Cobradores</t>
  </si>
  <si>
    <t xml:space="preserve">Fiscal </t>
  </si>
  <si>
    <t>Salários</t>
  </si>
  <si>
    <t>Manutenção</t>
  </si>
  <si>
    <t>Administrativo</t>
  </si>
  <si>
    <t>%</t>
  </si>
  <si>
    <t>Taxas</t>
  </si>
  <si>
    <t>R$/ano</t>
  </si>
  <si>
    <t>Impostos</t>
  </si>
  <si>
    <t>Combustível e lubrificantes</t>
  </si>
  <si>
    <t>Lubrificante</t>
  </si>
  <si>
    <t>Seguro RC</t>
  </si>
  <si>
    <t>Leve</t>
  </si>
  <si>
    <t>Pesado</t>
  </si>
  <si>
    <t>Pesado com ar</t>
  </si>
  <si>
    <t>Ponderado</t>
  </si>
  <si>
    <t>Pneu leve</t>
  </si>
  <si>
    <t>Recapagem leve</t>
  </si>
  <si>
    <t>Pneu pesado</t>
  </si>
  <si>
    <t>Recapagem pesado</t>
  </si>
  <si>
    <t>Pneu pesado ar</t>
  </si>
  <si>
    <t>Recapagem pesado ar</t>
  </si>
  <si>
    <t>Depreciação mensal</t>
  </si>
  <si>
    <t>Remuneração mensal</t>
  </si>
  <si>
    <t>Sistema</t>
  </si>
  <si>
    <t xml:space="preserve">Consumo </t>
  </si>
  <si>
    <t>PMM</t>
  </si>
  <si>
    <t>Total anual</t>
  </si>
  <si>
    <t>Início</t>
  </si>
  <si>
    <t>Fim</t>
  </si>
  <si>
    <t>Validade</t>
  </si>
  <si>
    <t>Quilometragem</t>
  </si>
  <si>
    <t>% improdutiva</t>
  </si>
  <si>
    <t>Km Produtiva</t>
  </si>
  <si>
    <t>Km Improdutiva</t>
  </si>
  <si>
    <t>Km Total</t>
  </si>
  <si>
    <t>Lubrificantes</t>
  </si>
  <si>
    <t>Frota reserva</t>
  </si>
  <si>
    <t>Veículos</t>
  </si>
  <si>
    <t>% veículo/ ano</t>
  </si>
  <si>
    <t>R$/veic/mês</t>
  </si>
  <si>
    <t>% Custo</t>
  </si>
  <si>
    <t>% Total com tributos</t>
  </si>
  <si>
    <t>% Total sem tributos</t>
  </si>
  <si>
    <t>Preço (R$/L)</t>
  </si>
  <si>
    <t>Custo (R$/km)</t>
  </si>
  <si>
    <t>Peças e acessórios</t>
  </si>
  <si>
    <t>Custo Varável Total</t>
  </si>
  <si>
    <t>Máquinas e instalações</t>
  </si>
  <si>
    <t>Almoxarifado</t>
  </si>
  <si>
    <t>Vida útil dos veículos</t>
  </si>
  <si>
    <t>anos</t>
  </si>
  <si>
    <t>Valor Residual dos veículos</t>
  </si>
  <si>
    <t>Taxa de remuneração do capital anual</t>
  </si>
  <si>
    <t>Taxa anual de depreciação de máquinas e equipamentos</t>
  </si>
  <si>
    <t>sobre o preço do veículo leve completo</t>
  </si>
  <si>
    <t>Taxa anual de remuneração de máquinas e equipamentos</t>
  </si>
  <si>
    <t>Taxa anual de remuneração de almoxarifado</t>
  </si>
  <si>
    <t>sobre o preço do veículo médio completo</t>
  </si>
  <si>
    <t>Valor (R$)</t>
  </si>
  <si>
    <t>Preço Ponderado</t>
  </si>
  <si>
    <t>Pessoal</t>
  </si>
  <si>
    <t>Fiscais</t>
  </si>
  <si>
    <t>Pessoal operação</t>
  </si>
  <si>
    <t>Reajuste previsto</t>
  </si>
  <si>
    <t>Fiscal</t>
  </si>
  <si>
    <t>Frota empenhada</t>
  </si>
  <si>
    <t>Salário</t>
  </si>
  <si>
    <t>Tiquete</t>
  </si>
  <si>
    <t>Uniformes</t>
  </si>
  <si>
    <t>Cesta básica</t>
  </si>
  <si>
    <t>Total (mensal)</t>
  </si>
  <si>
    <t>Total Operação</t>
  </si>
  <si>
    <t xml:space="preserve">Dimensionamento de Pessoal e Salários </t>
  </si>
  <si>
    <t>Área de trabalho</t>
  </si>
  <si>
    <t>Cargos</t>
  </si>
  <si>
    <t>Salários atuais</t>
  </si>
  <si>
    <t>Ticket</t>
  </si>
  <si>
    <t>Cesta Básica</t>
  </si>
  <si>
    <t>Custo Total atual</t>
  </si>
  <si>
    <t>Diretoria</t>
  </si>
  <si>
    <t>Presidente</t>
  </si>
  <si>
    <t>ENCARGOS SOCIAIS-Motoristas</t>
  </si>
  <si>
    <t>GRUPO A</t>
  </si>
  <si>
    <t>- Contribuição a Previdência Social</t>
  </si>
  <si>
    <t>- Acidente de trabalho</t>
  </si>
  <si>
    <t>- Contribuição a terceiros</t>
  </si>
  <si>
    <t>- Salário educação</t>
  </si>
  <si>
    <t>- SESI/SESC</t>
  </si>
  <si>
    <t>- SEST/SENAT</t>
  </si>
  <si>
    <t>- SEBRAE</t>
  </si>
  <si>
    <t>- INCRA</t>
  </si>
  <si>
    <t>- FGTS</t>
  </si>
  <si>
    <t>TOTAL DO GRUPO A</t>
  </si>
  <si>
    <t>GRUPO B</t>
  </si>
  <si>
    <t>TOTAL DO GRUPO B</t>
  </si>
  <si>
    <t>GRUPO C</t>
  </si>
  <si>
    <t>TOTAL DO GRUPO C</t>
  </si>
  <si>
    <t>INCIDÊNCIA CUMULATIVA</t>
  </si>
  <si>
    <t>- Grupo A x Grupo B</t>
  </si>
  <si>
    <t>TOTAL DA INCIDÊNCIA CUMULATIVA</t>
  </si>
  <si>
    <t>ENCARGOS VARIÁVEIS</t>
  </si>
  <si>
    <t>- Aviso prévio indenizados (média)</t>
  </si>
  <si>
    <t>- Indenizados (média)</t>
  </si>
  <si>
    <t>TOTAL DOS ENCARGOS VARIÁVEIS</t>
  </si>
  <si>
    <t>TOTAL GERAL</t>
  </si>
  <si>
    <t>Cobrador</t>
  </si>
  <si>
    <t>H/veículo</t>
  </si>
  <si>
    <t>Fator Utilização</t>
  </si>
  <si>
    <t>Encargos sociais</t>
  </si>
  <si>
    <t>Uniformes Operação</t>
  </si>
  <si>
    <t>Uniformes Manutenção</t>
  </si>
  <si>
    <t>Cesta natal</t>
  </si>
  <si>
    <t>Pessoal administrativo, manutenção e diretoria</t>
  </si>
  <si>
    <t>Benefícios</t>
  </si>
  <si>
    <t>Despesas administrativas</t>
  </si>
  <si>
    <t>Bilhetagem eletrônica</t>
  </si>
  <si>
    <t>Mês</t>
  </si>
  <si>
    <t>Média mensal</t>
  </si>
  <si>
    <t>Gasto mensal</t>
  </si>
  <si>
    <t>Bilhetagem</t>
  </si>
  <si>
    <t>SBE</t>
  </si>
  <si>
    <t>Custo Fixo Total</t>
  </si>
  <si>
    <t>Custo Total</t>
  </si>
  <si>
    <t>Tributos</t>
  </si>
  <si>
    <t>ISS</t>
  </si>
  <si>
    <t>Custo Total com Tributos</t>
  </si>
  <si>
    <t>Resumo da Planilha de Custos e Cálculo Tarifário</t>
  </si>
  <si>
    <t>Tarifa (R$/passageiro)</t>
  </si>
  <si>
    <t>Equivalente</t>
  </si>
  <si>
    <t>Dinheiro</t>
  </si>
  <si>
    <t>Cartão</t>
  </si>
  <si>
    <t>VT</t>
  </si>
  <si>
    <t>Estudantes</t>
  </si>
  <si>
    <t>Isentos</t>
  </si>
  <si>
    <t>GSL</t>
  </si>
  <si>
    <t>Passageiros por km equivalente (IPKe)</t>
  </si>
  <si>
    <t>INSS</t>
  </si>
  <si>
    <t>Coeficinete Micro</t>
  </si>
  <si>
    <t>Coeficinete Leve</t>
  </si>
  <si>
    <t>Coeficiente Pesado</t>
  </si>
  <si>
    <t>Coeficiente Pesado com ar</t>
  </si>
  <si>
    <t>l/km</t>
  </si>
  <si>
    <t>Custo total com impostos por km (R$/km)</t>
  </si>
  <si>
    <t>215/75 R22,5</t>
  </si>
  <si>
    <t xml:space="preserve">275/80 R 22,5 </t>
  </si>
  <si>
    <t>Diretor Financeiro</t>
  </si>
  <si>
    <t>Diretor Administrativo</t>
  </si>
  <si>
    <t>Total sistema</t>
  </si>
  <si>
    <t>Tipo de Passageiro</t>
  </si>
  <si>
    <t>% Desconto</t>
  </si>
  <si>
    <t>Demanda</t>
  </si>
  <si>
    <t>Idade</t>
  </si>
  <si>
    <t>Idade da frota por tipo de veículo</t>
  </si>
  <si>
    <t>Idade Média (anos)</t>
  </si>
  <si>
    <t xml:space="preserve">- Abono de Férias </t>
  </si>
  <si>
    <t>- Aviso Prévio Trabalhado</t>
  </si>
  <si>
    <t>- Licença Paternidade</t>
  </si>
  <si>
    <t>- Licença Funeral / Casamento</t>
  </si>
  <si>
    <t>- 13o salário / Adicional Noturno</t>
  </si>
  <si>
    <t>- Depósito por Rescisão / Aviso Prévio Ind. / Ind. Adic.</t>
  </si>
  <si>
    <t>Salários 2017</t>
  </si>
  <si>
    <t>Custo Total 2017</t>
  </si>
  <si>
    <t>COM PREVISÃO DE REAJUSTE DE 7,5%</t>
  </si>
  <si>
    <t>Despesas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</si>
</sst>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R$&quot;\ #,##0.00;[Red]\-&quot;R$&quot;\ #,##0.00"/>
    <numFmt numFmtId="43" formatCode="_-* #,##0.00_-;\-* #,##0.00_-;_-* &quot;-&quot;??_-;_-@_-"/>
    <numFmt numFmtId="164" formatCode="#,##0.00000"/>
    <numFmt numFmtId="165" formatCode="#,##0.0000"/>
    <numFmt numFmtId="166" formatCode="#,##0.000000"/>
    <numFmt numFmtId="167" formatCode="#,##0.0000000"/>
    <numFmt numFmtId="168" formatCode="0.00000"/>
    <numFmt numFmtId="169" formatCode="0.0000"/>
    <numFmt numFmtId="170" formatCode="#,##0.00000000"/>
    <numFmt numFmtId="171" formatCode="dd/mm/yy;@"/>
    <numFmt numFmtId="172" formatCode="0.0%"/>
    <numFmt numFmtId="173" formatCode="_(* #,##0.00_);_(* \(#,##0.00\);_(* &quot;-&quot;??_);_(@_)"/>
  </numFmts>
  <fonts count="17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1"/>
      <name val="Arial"/>
      <family val="2"/>
    </font>
    <font>
      <b/>
      <sz val="8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173" fontId="6" fillId="0" borderId="0" applyFont="0" applyFill="0" applyBorder="0" applyAlignment="0" applyProtection="0"/>
  </cellStyleXfs>
  <cellXfs count="233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70" fontId="0" fillId="0" borderId="1" xfId="0" applyNumberFormat="1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40" fontId="6" fillId="0" borderId="1" xfId="2" applyNumberForma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9" fontId="0" fillId="0" borderId="0" xfId="3" applyFont="1" applyAlignment="1">
      <alignment horizontal="center" vertical="center" wrapText="1"/>
    </xf>
    <xf numFmtId="4" fontId="6" fillId="0" borderId="0" xfId="2" applyNumberFormat="1" applyAlignment="1">
      <alignment horizontal="center" vertical="center" wrapText="1"/>
    </xf>
    <xf numFmtId="4" fontId="4" fillId="0" borderId="0" xfId="2" applyNumberFormat="1" applyFont="1" applyAlignment="1">
      <alignment horizontal="center" vertical="center" wrapText="1"/>
    </xf>
    <xf numFmtId="10" fontId="0" fillId="0" borderId="0" xfId="3" applyNumberFormat="1" applyFont="1" applyAlignment="1">
      <alignment horizontal="center" vertical="center" wrapText="1"/>
    </xf>
    <xf numFmtId="0" fontId="4" fillId="5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168" fontId="6" fillId="0" borderId="0" xfId="2" applyNumberFormat="1" applyAlignment="1">
      <alignment horizontal="center" vertical="center" wrapText="1"/>
    </xf>
    <xf numFmtId="0" fontId="6" fillId="4" borderId="0" xfId="2" applyFill="1" applyAlignment="1">
      <alignment horizontal="center" vertical="center" wrapText="1"/>
    </xf>
    <xf numFmtId="40" fontId="6" fillId="0" borderId="0" xfId="2" applyNumberForma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40" fontId="4" fillId="2" borderId="0" xfId="2" applyNumberFormat="1" applyFont="1" applyFill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4" fillId="5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40" fontId="4" fillId="0" borderId="0" xfId="2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0" fillId="10" borderId="1" xfId="0" applyNumberFormat="1" applyFill="1" applyBorder="1" applyAlignment="1">
      <alignment horizontal="center" vertical="center" wrapText="1"/>
    </xf>
    <xf numFmtId="3" fontId="0" fillId="10" borderId="1" xfId="0" applyNumberForma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171" fontId="0" fillId="0" borderId="0" xfId="0" applyNumberFormat="1"/>
    <xf numFmtId="0" fontId="0" fillId="0" borderId="0" xfId="0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4" fillId="10" borderId="1" xfId="0" applyNumberFormat="1" applyFont="1" applyFill="1" applyBorder="1" applyAlignment="1">
      <alignment horizontal="right" vertical="center"/>
    </xf>
    <xf numFmtId="10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10" borderId="1" xfId="0" applyNumberFormat="1" applyFill="1" applyBorder="1" applyAlignment="1">
      <alignment horizontal="center" vertical="center" wrapText="1"/>
    </xf>
    <xf numFmtId="170" fontId="0" fillId="10" borderId="1" xfId="0" applyNumberFormat="1" applyFill="1" applyBorder="1" applyAlignment="1">
      <alignment horizontal="center" vertical="center" wrapText="1"/>
    </xf>
    <xf numFmtId="164" fontId="0" fillId="10" borderId="1" xfId="0" applyNumberForma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wrapText="1"/>
    </xf>
    <xf numFmtId="40" fontId="4" fillId="10" borderId="1" xfId="2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4" fontId="4" fillId="10" borderId="1" xfId="0" applyNumberFormat="1" applyFont="1" applyFill="1" applyBorder="1" applyAlignment="1">
      <alignment horizontal="center" vertical="center" wrapText="1"/>
    </xf>
    <xf numFmtId="3" fontId="4" fillId="10" borderId="1" xfId="0" applyNumberFormat="1" applyFont="1" applyFill="1" applyBorder="1" applyAlignment="1">
      <alignment horizontal="center" vertical="center" wrapText="1"/>
    </xf>
    <xf numFmtId="0" fontId="1" fillId="0" borderId="0" xfId="4"/>
    <xf numFmtId="10" fontId="1" fillId="7" borderId="0" xfId="4" applyNumberFormat="1" applyFill="1"/>
    <xf numFmtId="0" fontId="8" fillId="10" borderId="1" xfId="4" applyFont="1" applyFill="1" applyBorder="1"/>
    <xf numFmtId="0" fontId="1" fillId="0" borderId="1" xfId="4" applyBorder="1"/>
    <xf numFmtId="169" fontId="1" fillId="0" borderId="1" xfId="4" applyNumberFormat="1" applyBorder="1"/>
    <xf numFmtId="4" fontId="1" fillId="0" borderId="1" xfId="4" applyNumberFormat="1" applyBorder="1"/>
    <xf numFmtId="10" fontId="1" fillId="0" borderId="1" xfId="4" applyNumberFormat="1" applyBorder="1"/>
    <xf numFmtId="4" fontId="8" fillId="10" borderId="1" xfId="4" applyNumberFormat="1" applyFont="1" applyFill="1" applyBorder="1"/>
    <xf numFmtId="0" fontId="10" fillId="0" borderId="0" xfId="6" applyFont="1"/>
    <xf numFmtId="0" fontId="10" fillId="0" borderId="0" xfId="6" applyFont="1" applyAlignment="1">
      <alignment horizontal="center" vertical="center"/>
    </xf>
    <xf numFmtId="4" fontId="10" fillId="0" borderId="0" xfId="6" applyNumberFormat="1" applyFont="1" applyFill="1"/>
    <xf numFmtId="10" fontId="10" fillId="0" borderId="0" xfId="6" applyNumberFormat="1" applyFont="1" applyFill="1"/>
    <xf numFmtId="0" fontId="10" fillId="0" borderId="0" xfId="6" applyFont="1" applyAlignment="1">
      <alignment horizontal="center" vertical="center" wrapText="1"/>
    </xf>
    <xf numFmtId="0" fontId="10" fillId="0" borderId="1" xfId="6" applyFont="1" applyBorder="1"/>
    <xf numFmtId="4" fontId="10" fillId="0" borderId="1" xfId="6" applyNumberFormat="1" applyFont="1" applyFill="1" applyBorder="1" applyAlignment="1">
      <alignment horizontal="center"/>
    </xf>
    <xf numFmtId="10" fontId="10" fillId="0" borderId="3" xfId="6" applyNumberFormat="1" applyFont="1" applyFill="1" applyBorder="1" applyAlignment="1">
      <alignment horizontal="center"/>
    </xf>
    <xf numFmtId="4" fontId="10" fillId="0" borderId="3" xfId="6" applyNumberFormat="1" applyFont="1" applyFill="1" applyBorder="1" applyAlignment="1">
      <alignment horizontal="center"/>
    </xf>
    <xf numFmtId="4" fontId="13" fillId="10" borderId="1" xfId="6" applyNumberFormat="1" applyFont="1" applyFill="1" applyBorder="1" applyAlignment="1">
      <alignment horizontal="center"/>
    </xf>
    <xf numFmtId="0" fontId="13" fillId="0" borderId="0" xfId="6" applyFont="1"/>
    <xf numFmtId="0" fontId="6" fillId="11" borderId="9" xfId="6" applyFill="1" applyBorder="1"/>
    <xf numFmtId="0" fontId="6" fillId="0" borderId="0" xfId="6"/>
    <xf numFmtId="0" fontId="6" fillId="0" borderId="5" xfId="6" applyBorder="1" applyAlignment="1">
      <alignment horizontal="left" indent="1"/>
    </xf>
    <xf numFmtId="0" fontId="6" fillId="0" borderId="5" xfId="6" applyBorder="1"/>
    <xf numFmtId="49" fontId="6" fillId="0" borderId="0" xfId="6" applyNumberFormat="1" applyBorder="1" applyAlignment="1">
      <alignment horizontal="left" vertical="center" indent="3"/>
    </xf>
    <xf numFmtId="10" fontId="0" fillId="0" borderId="0" xfId="5" applyNumberFormat="1" applyFont="1" applyBorder="1"/>
    <xf numFmtId="49" fontId="6" fillId="0" borderId="0" xfId="6" applyNumberFormat="1" applyBorder="1" applyAlignment="1">
      <alignment horizontal="left" indent="3"/>
    </xf>
    <xf numFmtId="49" fontId="6" fillId="0" borderId="0" xfId="6" applyNumberFormat="1" applyBorder="1" applyAlignment="1">
      <alignment horizontal="left" indent="5"/>
    </xf>
    <xf numFmtId="49" fontId="6" fillId="0" borderId="6" xfId="6" applyNumberFormat="1" applyBorder="1" applyAlignment="1">
      <alignment horizontal="left" indent="1"/>
    </xf>
    <xf numFmtId="10" fontId="6" fillId="0" borderId="6" xfId="6" applyNumberFormat="1" applyBorder="1"/>
    <xf numFmtId="10" fontId="6" fillId="0" borderId="0" xfId="6" applyNumberFormat="1" applyBorder="1"/>
    <xf numFmtId="49" fontId="6" fillId="0" borderId="6" xfId="6" applyNumberFormat="1" applyBorder="1" applyAlignment="1">
      <alignment horizontal="left"/>
    </xf>
    <xf numFmtId="49" fontId="6" fillId="0" borderId="0" xfId="6" applyNumberFormat="1" applyFill="1" applyBorder="1" applyAlignment="1">
      <alignment horizontal="left" indent="1"/>
    </xf>
    <xf numFmtId="0" fontId="6" fillId="0" borderId="0" xfId="6" applyBorder="1"/>
    <xf numFmtId="49" fontId="6" fillId="0" borderId="6" xfId="6" applyNumberFormat="1" applyFont="1" applyBorder="1" applyAlignment="1">
      <alignment horizontal="left" indent="1"/>
    </xf>
    <xf numFmtId="0" fontId="14" fillId="0" borderId="10" xfId="6" applyFont="1" applyBorder="1"/>
    <xf numFmtId="10" fontId="14" fillId="0" borderId="10" xfId="6" applyNumberFormat="1" applyFont="1" applyBorder="1"/>
    <xf numFmtId="10" fontId="6" fillId="0" borderId="0" xfId="6" applyNumberFormat="1" applyFont="1"/>
    <xf numFmtId="8" fontId="6" fillId="0" borderId="0" xfId="6" applyNumberFormat="1"/>
    <xf numFmtId="10" fontId="6" fillId="0" borderId="0" xfId="6" applyNumberFormat="1"/>
    <xf numFmtId="173" fontId="0" fillId="0" borderId="0" xfId="7" applyFont="1"/>
    <xf numFmtId="43" fontId="6" fillId="0" borderId="0" xfId="6" applyNumberFormat="1"/>
    <xf numFmtId="3" fontId="1" fillId="0" borderId="1" xfId="4" applyNumberFormat="1" applyBorder="1"/>
    <xf numFmtId="169" fontId="6" fillId="0" borderId="1" xfId="0" applyNumberFormat="1" applyFont="1" applyBorder="1" applyAlignment="1">
      <alignment horizontal="center" vertical="center"/>
    </xf>
    <xf numFmtId="10" fontId="10" fillId="0" borderId="1" xfId="5" applyNumberFormat="1" applyFont="1" applyBorder="1"/>
    <xf numFmtId="171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4" fillId="7" borderId="1" xfId="0" applyFont="1" applyFill="1" applyBorder="1"/>
    <xf numFmtId="165" fontId="4" fillId="7" borderId="1" xfId="0" applyNumberFormat="1" applyFont="1" applyFill="1" applyBorder="1"/>
    <xf numFmtId="10" fontId="4" fillId="7" borderId="1" xfId="1" applyNumberFormat="1" applyFont="1" applyFill="1" applyBorder="1" applyAlignment="1">
      <alignment horizontal="center" vertical="center"/>
    </xf>
    <xf numFmtId="9" fontId="4" fillId="7" borderId="1" xfId="1" applyFont="1" applyFill="1" applyBorder="1" applyAlignment="1">
      <alignment horizontal="center" vertical="center"/>
    </xf>
    <xf numFmtId="4" fontId="0" fillId="0" borderId="1" xfId="0" applyNumberFormat="1" applyBorder="1"/>
    <xf numFmtId="0" fontId="6" fillId="0" borderId="1" xfId="0" applyFont="1" applyBorder="1" applyAlignment="1">
      <alignment horizontal="left" indent="2"/>
    </xf>
    <xf numFmtId="0" fontId="0" fillId="0" borderId="1" xfId="0" applyBorder="1" applyAlignment="1">
      <alignment horizontal="left" indent="2"/>
    </xf>
    <xf numFmtId="0" fontId="6" fillId="0" borderId="1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4" fontId="4" fillId="8" borderId="1" xfId="0" applyNumberFormat="1" applyFont="1" applyFill="1" applyBorder="1"/>
    <xf numFmtId="165" fontId="4" fillId="8" borderId="1" xfId="0" applyNumberFormat="1" applyFont="1" applyFill="1" applyBorder="1"/>
    <xf numFmtId="10" fontId="4" fillId="8" borderId="1" xfId="1" applyNumberFormat="1" applyFont="1" applyFill="1" applyBorder="1" applyAlignment="1">
      <alignment horizontal="center" vertical="center"/>
    </xf>
    <xf numFmtId="9" fontId="4" fillId="8" borderId="1" xfId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/>
    </xf>
    <xf numFmtId="4" fontId="4" fillId="12" borderId="1" xfId="0" applyNumberFormat="1" applyFont="1" applyFill="1" applyBorder="1"/>
    <xf numFmtId="0" fontId="4" fillId="12" borderId="1" xfId="0" applyFont="1" applyFill="1" applyBorder="1"/>
    <xf numFmtId="165" fontId="4" fillId="12" borderId="1" xfId="0" applyNumberFormat="1" applyFont="1" applyFill="1" applyBorder="1"/>
    <xf numFmtId="0" fontId="4" fillId="1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/>
    </xf>
    <xf numFmtId="0" fontId="4" fillId="9" borderId="1" xfId="0" applyFont="1" applyFill="1" applyBorder="1"/>
    <xf numFmtId="165" fontId="4" fillId="9" borderId="1" xfId="0" applyNumberFormat="1" applyFont="1" applyFill="1" applyBorder="1"/>
    <xf numFmtId="0" fontId="4" fillId="9" borderId="1" xfId="0" applyFont="1" applyFill="1" applyBorder="1" applyAlignment="1">
      <alignment horizontal="center" vertical="center"/>
    </xf>
    <xf numFmtId="9" fontId="4" fillId="9" borderId="1" xfId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4" fillId="0" borderId="0" xfId="2" applyNumberFormat="1" applyFont="1" applyFill="1" applyAlignment="1">
      <alignment horizontal="center" vertical="center" wrapText="1"/>
    </xf>
    <xf numFmtId="9" fontId="4" fillId="0" borderId="0" xfId="3" applyFont="1" applyFill="1" applyAlignment="1">
      <alignment horizontal="center" vertical="center" wrapText="1"/>
    </xf>
    <xf numFmtId="9" fontId="4" fillId="12" borderId="1" xfId="1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10" borderId="1" xfId="0" applyNumberFormat="1" applyFont="1" applyFill="1" applyBorder="1" applyAlignment="1">
      <alignment horizontal="center" vertical="center"/>
    </xf>
    <xf numFmtId="0" fontId="15" fillId="0" borderId="0" xfId="6" applyFont="1"/>
    <xf numFmtId="4" fontId="15" fillId="0" borderId="0" xfId="6" applyNumberFormat="1" applyFont="1" applyFill="1"/>
    <xf numFmtId="49" fontId="2" fillId="0" borderId="0" xfId="6" applyNumberFormat="1" applyFont="1" applyBorder="1" applyAlignment="1">
      <alignment horizontal="left" vertical="center" indent="3"/>
    </xf>
    <xf numFmtId="49" fontId="2" fillId="0" borderId="0" xfId="6" applyNumberFormat="1" applyFont="1" applyBorder="1" applyAlignment="1">
      <alignment horizontal="left" vertical="center" indent="1"/>
    </xf>
    <xf numFmtId="4" fontId="1" fillId="0" borderId="0" xfId="4" applyNumberFormat="1"/>
    <xf numFmtId="0" fontId="1" fillId="7" borderId="1" xfId="4" applyFill="1" applyBorder="1"/>
    <xf numFmtId="4" fontId="1" fillId="7" borderId="1" xfId="4" applyNumberFormat="1" applyFill="1" applyBorder="1"/>
    <xf numFmtId="10" fontId="0" fillId="0" borderId="1" xfId="1" applyNumberFormat="1" applyFont="1" applyFill="1" applyBorder="1" applyAlignment="1">
      <alignment horizontal="center" vertical="center"/>
    </xf>
    <xf numFmtId="169" fontId="0" fillId="0" borderId="1" xfId="1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72" fontId="0" fillId="0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9" fontId="0" fillId="0" borderId="1" xfId="1" applyNumberFormat="1" applyFont="1" applyFill="1" applyBorder="1" applyAlignment="1">
      <alignment horizontal="center" vertical="center"/>
    </xf>
    <xf numFmtId="4" fontId="0" fillId="0" borderId="1" xfId="1" applyNumberFormat="1" applyFont="1" applyFill="1" applyBorder="1" applyAlignment="1">
      <alignment horizontal="center" vertical="center"/>
    </xf>
    <xf numFmtId="169" fontId="6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4" fontId="2" fillId="0" borderId="1" xfId="2" applyNumberFormat="1" applyFont="1" applyBorder="1"/>
    <xf numFmtId="14" fontId="2" fillId="0" borderId="3" xfId="2" applyNumberFormat="1" applyFont="1" applyBorder="1"/>
    <xf numFmtId="4" fontId="2" fillId="0" borderId="1" xfId="0" applyNumberFormat="1" applyFont="1" applyBorder="1" applyAlignment="1">
      <alignment horizontal="right" vertical="center" wrapText="1"/>
    </xf>
    <xf numFmtId="171" fontId="4" fillId="0" borderId="0" xfId="0" applyNumberFormat="1" applyFont="1"/>
    <xf numFmtId="0" fontId="4" fillId="0" borderId="0" xfId="0" applyFont="1"/>
    <xf numFmtId="17" fontId="6" fillId="0" borderId="1" xfId="2" applyNumberFormat="1" applyBorder="1" applyAlignment="1">
      <alignment horizontal="center"/>
    </xf>
    <xf numFmtId="3" fontId="6" fillId="0" borderId="1" xfId="2" applyNumberFormat="1" applyBorder="1"/>
    <xf numFmtId="0" fontId="2" fillId="0" borderId="1" xfId="0" applyFont="1" applyBorder="1" applyAlignment="1">
      <alignment horizontal="center" vertical="center"/>
    </xf>
    <xf numFmtId="40" fontId="16" fillId="2" borderId="0" xfId="2" applyNumberFormat="1" applyFont="1" applyFill="1" applyAlignment="1">
      <alignment horizontal="center" vertical="center" wrapText="1"/>
    </xf>
    <xf numFmtId="8" fontId="6" fillId="0" borderId="1" xfId="2" applyNumberFormat="1" applyBorder="1"/>
    <xf numFmtId="0" fontId="1" fillId="0" borderId="0" xfId="4" applyAlignment="1">
      <alignment horizontal="center"/>
    </xf>
    <xf numFmtId="0" fontId="8" fillId="10" borderId="3" xfId="4" applyFont="1" applyFill="1" applyBorder="1" applyAlignment="1">
      <alignment horizontal="center"/>
    </xf>
    <xf numFmtId="0" fontId="8" fillId="10" borderId="5" xfId="4" applyFont="1" applyFill="1" applyBorder="1" applyAlignment="1">
      <alignment horizontal="center"/>
    </xf>
    <xf numFmtId="0" fontId="8" fillId="10" borderId="4" xfId="4" applyFont="1" applyFill="1" applyBorder="1" applyAlignment="1">
      <alignment horizontal="center"/>
    </xf>
    <xf numFmtId="0" fontId="13" fillId="10" borderId="1" xfId="6" applyFont="1" applyFill="1" applyBorder="1" applyAlignment="1">
      <alignment horizontal="center"/>
    </xf>
    <xf numFmtId="4" fontId="11" fillId="5" borderId="7" xfId="6" applyNumberFormat="1" applyFont="1" applyFill="1" applyBorder="1" applyAlignment="1">
      <alignment horizontal="center" vertical="center" wrapText="1"/>
    </xf>
    <xf numFmtId="4" fontId="11" fillId="5" borderId="8" xfId="6" applyNumberFormat="1" applyFont="1" applyFill="1" applyBorder="1" applyAlignment="1">
      <alignment horizontal="center" vertical="center" wrapText="1"/>
    </xf>
    <xf numFmtId="4" fontId="11" fillId="5" borderId="2" xfId="6" applyNumberFormat="1" applyFont="1" applyFill="1" applyBorder="1" applyAlignment="1">
      <alignment horizontal="center" vertical="center" wrapText="1"/>
    </xf>
    <xf numFmtId="0" fontId="12" fillId="0" borderId="8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9" fillId="0" borderId="0" xfId="6" applyFont="1" applyAlignment="1">
      <alignment horizontal="center"/>
    </xf>
    <xf numFmtId="0" fontId="11" fillId="5" borderId="7" xfId="6" applyFont="1" applyFill="1" applyBorder="1" applyAlignment="1">
      <alignment horizontal="center" vertical="center" wrapText="1"/>
    </xf>
    <xf numFmtId="0" fontId="11" fillId="5" borderId="8" xfId="6" applyFont="1" applyFill="1" applyBorder="1" applyAlignment="1">
      <alignment horizontal="center" vertical="center" wrapText="1"/>
    </xf>
    <xf numFmtId="0" fontId="11" fillId="5" borderId="2" xfId="6" applyFont="1" applyFill="1" applyBorder="1" applyAlignment="1">
      <alignment horizontal="center" vertical="center" wrapText="1"/>
    </xf>
    <xf numFmtId="10" fontId="11" fillId="5" borderId="7" xfId="6" applyNumberFormat="1" applyFont="1" applyFill="1" applyBorder="1" applyAlignment="1">
      <alignment horizontal="center" vertical="center" wrapText="1"/>
    </xf>
    <xf numFmtId="10" fontId="11" fillId="5" borderId="8" xfId="6" applyNumberFormat="1" applyFont="1" applyFill="1" applyBorder="1" applyAlignment="1">
      <alignment horizontal="center" vertical="center" wrapText="1"/>
    </xf>
    <xf numFmtId="10" fontId="11" fillId="5" borderId="2" xfId="6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171" fontId="4" fillId="10" borderId="1" xfId="0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4" fillId="5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6" fillId="0" borderId="6" xfId="2" applyBorder="1" applyAlignment="1">
      <alignment horizontal="center" vertical="center" wrapText="1"/>
    </xf>
    <xf numFmtId="0" fontId="4" fillId="10" borderId="3" xfId="2" applyFont="1" applyFill="1" applyBorder="1" applyAlignment="1">
      <alignment horizontal="center" vertical="center" wrapText="1"/>
    </xf>
    <xf numFmtId="0" fontId="4" fillId="10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14" borderId="1" xfId="0" applyFont="1" applyFill="1" applyBorder="1" applyAlignment="1">
      <alignment horizontal="right" vertical="center" wrapText="1"/>
    </xf>
    <xf numFmtId="165" fontId="12" fillId="14" borderId="1" xfId="0" applyNumberFormat="1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2" fontId="12" fillId="1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horizontal="left" indent="2"/>
    </xf>
  </cellXfs>
  <cellStyles count="8">
    <cellStyle name="Normal" xfId="0" builtinId="0"/>
    <cellStyle name="Normal 2" xfId="4"/>
    <cellStyle name="Normal 2 2" xfId="6"/>
    <cellStyle name="Normal 5" xfId="2"/>
    <cellStyle name="Porcentagem" xfId="1" builtinId="5"/>
    <cellStyle name="Porcentagem 2" xfId="3"/>
    <cellStyle name="Porcentagem 3" xfId="5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3" sqref="G3"/>
    </sheetView>
  </sheetViews>
  <sheetFormatPr defaultColWidth="9.1796875" defaultRowHeight="14" x14ac:dyDescent="0.3"/>
  <cols>
    <col min="1" max="1" width="17.54296875" style="72" bestFit="1" customWidth="1"/>
    <col min="2" max="3" width="13.7265625" style="72" customWidth="1"/>
    <col min="4" max="4" width="13.26953125" style="72" customWidth="1"/>
    <col min="5" max="5" width="9.1796875" style="72"/>
    <col min="6" max="6" width="17.26953125" style="72" bestFit="1" customWidth="1"/>
    <col min="7" max="7" width="10.26953125" style="72" bestFit="1" customWidth="1"/>
    <col min="8" max="16384" width="9.1796875" style="72"/>
  </cols>
  <sheetData>
    <row r="1" spans="1:7" x14ac:dyDescent="0.3">
      <c r="A1" s="187" t="s">
        <v>131</v>
      </c>
      <c r="B1" s="187"/>
      <c r="C1" s="187"/>
      <c r="D1" s="187"/>
    </row>
    <row r="2" spans="1:7" x14ac:dyDescent="0.3">
      <c r="F2" s="72" t="s">
        <v>132</v>
      </c>
      <c r="G2" s="73">
        <v>7.4999999999999997E-2</v>
      </c>
    </row>
    <row r="3" spans="1:7" x14ac:dyDescent="0.3">
      <c r="A3" s="74" t="s">
        <v>2</v>
      </c>
      <c r="B3" s="74" t="s">
        <v>67</v>
      </c>
      <c r="C3" s="74" t="s">
        <v>174</v>
      </c>
      <c r="D3" s="74" t="s">
        <v>133</v>
      </c>
    </row>
    <row r="4" spans="1:7" x14ac:dyDescent="0.3">
      <c r="A4" s="75" t="s">
        <v>134</v>
      </c>
      <c r="B4" s="113">
        <f>'Preço médio de veículo'!C6-Insumos!D8</f>
        <v>201</v>
      </c>
      <c r="C4" s="113">
        <f>B4</f>
        <v>201</v>
      </c>
      <c r="D4" s="75">
        <f>B4</f>
        <v>201</v>
      </c>
    </row>
    <row r="5" spans="1:7" x14ac:dyDescent="0.3">
      <c r="A5" s="75" t="s">
        <v>14</v>
      </c>
      <c r="B5" s="76">
        <f>Insumos!D46</f>
        <v>2.2000000000000002</v>
      </c>
      <c r="C5" s="76">
        <f>Insumos!D47</f>
        <v>0</v>
      </c>
      <c r="D5" s="76">
        <f>Insumos!D48</f>
        <v>0.2</v>
      </c>
    </row>
    <row r="6" spans="1:7" x14ac:dyDescent="0.3">
      <c r="A6" s="75" t="s">
        <v>135</v>
      </c>
      <c r="B6" s="77">
        <f>Insumos!D39</f>
        <v>2081.1999999999998</v>
      </c>
      <c r="C6" s="77">
        <f>Insumos!D40</f>
        <v>0</v>
      </c>
      <c r="D6" s="77">
        <f>Insumos!D41</f>
        <v>1608.11</v>
      </c>
    </row>
    <row r="7" spans="1:7" x14ac:dyDescent="0.3">
      <c r="A7" s="75" t="s">
        <v>13</v>
      </c>
      <c r="B7" s="115">
        <f>Insumos!D45</f>
        <v>0.40899999999999997</v>
      </c>
      <c r="C7" s="115">
        <f>B7</f>
        <v>0.40899999999999997</v>
      </c>
      <c r="D7" s="78">
        <f>C7</f>
        <v>0.40899999999999997</v>
      </c>
    </row>
    <row r="8" spans="1:7" x14ac:dyDescent="0.3">
      <c r="A8" s="163" t="s">
        <v>136</v>
      </c>
      <c r="B8" s="164">
        <f>Insumos!D49</f>
        <v>315.3</v>
      </c>
      <c r="C8" s="164">
        <f>B8</f>
        <v>315.3</v>
      </c>
      <c r="D8" s="164">
        <f>B8</f>
        <v>315.3</v>
      </c>
      <c r="F8" s="162">
        <f>Insumos!D49</f>
        <v>315.3</v>
      </c>
    </row>
    <row r="9" spans="1:7" x14ac:dyDescent="0.3">
      <c r="A9" s="75" t="s">
        <v>137</v>
      </c>
      <c r="B9" s="77">
        <f>Insumos!D50</f>
        <v>11.33</v>
      </c>
      <c r="C9" s="77">
        <f>B9</f>
        <v>11.33</v>
      </c>
      <c r="D9" s="77">
        <f>B9</f>
        <v>11.33</v>
      </c>
    </row>
    <row r="10" spans="1:7" x14ac:dyDescent="0.3">
      <c r="A10" s="75" t="s">
        <v>138</v>
      </c>
      <c r="B10" s="77">
        <f>Insumos!D52</f>
        <v>10.36</v>
      </c>
      <c r="C10" s="77">
        <f>B10</f>
        <v>10.36</v>
      </c>
      <c r="D10" s="77">
        <f>B10</f>
        <v>10.36</v>
      </c>
    </row>
    <row r="11" spans="1:7" x14ac:dyDescent="0.3">
      <c r="A11" s="74" t="s">
        <v>139</v>
      </c>
      <c r="B11" s="79">
        <f>B4*B5*(B6*(1+B7)+B8+B9+B10)</f>
        <v>1445729.03376</v>
      </c>
      <c r="C11" s="79">
        <f t="shared" ref="C11:D11" si="0">C4*C5*(C6*(1+C7)+C8+C9+C10)</f>
        <v>0</v>
      </c>
      <c r="D11" s="79">
        <f t="shared" si="0"/>
        <v>104633.24299800002</v>
      </c>
    </row>
    <row r="12" spans="1:7" x14ac:dyDescent="0.3">
      <c r="A12" s="188" t="s">
        <v>140</v>
      </c>
      <c r="B12" s="189"/>
      <c r="C12" s="190"/>
      <c r="D12" s="79">
        <f>B11+C11+D11</f>
        <v>1550362.276758</v>
      </c>
    </row>
  </sheetData>
  <mergeCells count="2">
    <mergeCell ref="A1:D1"/>
    <mergeCell ref="A12:C1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showGridLines="0" topLeftCell="A82" workbookViewId="0">
      <selection activeCell="H99" sqref="H99"/>
    </sheetView>
  </sheetViews>
  <sheetFormatPr defaultColWidth="9.1796875" defaultRowHeight="12.5" x14ac:dyDescent="0.25"/>
  <cols>
    <col min="1" max="1" width="26.7265625" style="24" customWidth="1"/>
    <col min="2" max="2" width="3" style="24" bestFit="1" customWidth="1"/>
    <col min="3" max="3" width="15.81640625" style="24" customWidth="1"/>
    <col min="4" max="4" width="9.26953125" style="24" customWidth="1"/>
    <col min="5" max="5" width="8.453125" style="24" customWidth="1"/>
    <col min="6" max="6" width="5.7265625" style="24" customWidth="1"/>
    <col min="7" max="7" width="13.453125" style="24" customWidth="1"/>
    <col min="8" max="8" width="10.7265625" style="24" customWidth="1"/>
    <col min="9" max="9" width="12" style="24" customWidth="1"/>
    <col min="10" max="10" width="10.54296875" style="24" customWidth="1"/>
    <col min="11" max="11" width="11.54296875" style="24" customWidth="1"/>
    <col min="12" max="12" width="11" style="24" customWidth="1"/>
    <col min="13" max="13" width="11.54296875" style="24" bestFit="1" customWidth="1"/>
    <col min="14" max="14" width="17" style="24" bestFit="1" customWidth="1"/>
    <col min="15" max="16" width="17.453125" style="24" customWidth="1"/>
    <col min="17" max="17" width="19.81640625" style="24" bestFit="1" customWidth="1"/>
    <col min="18" max="18" width="21.1796875" style="24" bestFit="1" customWidth="1"/>
    <col min="19" max="16384" width="9.1796875" style="24"/>
  </cols>
  <sheetData>
    <row r="1" spans="1:18" ht="25" x14ac:dyDescent="0.25">
      <c r="A1" s="213" t="s">
        <v>45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Q1" s="214"/>
      <c r="R1" s="214"/>
    </row>
    <row r="2" spans="1:18" ht="13" x14ac:dyDescent="0.25">
      <c r="O2" s="25" t="s">
        <v>1</v>
      </c>
      <c r="P2" s="25" t="s">
        <v>24</v>
      </c>
      <c r="Q2" s="25" t="s">
        <v>90</v>
      </c>
      <c r="R2" s="25" t="s">
        <v>91</v>
      </c>
    </row>
    <row r="3" spans="1:18" x14ac:dyDescent="0.25">
      <c r="O3" s="26" t="s">
        <v>29</v>
      </c>
      <c r="P3" s="26">
        <f>F25</f>
        <v>10</v>
      </c>
      <c r="Q3" s="27">
        <f>H25</f>
        <v>5852.6124976000001</v>
      </c>
      <c r="R3" s="27">
        <f>J25</f>
        <v>6963.7374312000029</v>
      </c>
    </row>
    <row r="4" spans="1:18" ht="13" x14ac:dyDescent="0.25">
      <c r="A4" s="28" t="s">
        <v>39</v>
      </c>
      <c r="C4" s="28" t="s">
        <v>29</v>
      </c>
      <c r="O4" s="26" t="s">
        <v>80</v>
      </c>
      <c r="P4" s="26">
        <f>F51</f>
        <v>12</v>
      </c>
      <c r="Q4" s="27">
        <f>H51</f>
        <v>6385.1767252</v>
      </c>
      <c r="R4" s="27">
        <f>J51</f>
        <v>9050.7261345600036</v>
      </c>
    </row>
    <row r="5" spans="1:18" ht="13" x14ac:dyDescent="0.25">
      <c r="A5" s="28" t="s">
        <v>46</v>
      </c>
      <c r="C5" s="149">
        <f>Insumos!D27</f>
        <v>7</v>
      </c>
      <c r="O5" s="26" t="s">
        <v>81</v>
      </c>
      <c r="P5" s="26">
        <f>F77</f>
        <v>99</v>
      </c>
      <c r="Q5" s="27">
        <f>H77</f>
        <v>121379.78888273337</v>
      </c>
      <c r="R5" s="27">
        <f>J77</f>
        <v>86010.576055862039</v>
      </c>
    </row>
    <row r="6" spans="1:18" ht="13" x14ac:dyDescent="0.25">
      <c r="A6" s="28" t="s">
        <v>47</v>
      </c>
      <c r="B6" s="29"/>
      <c r="C6" s="150">
        <f>Insumos!D31</f>
        <v>0.2</v>
      </c>
      <c r="D6" s="29"/>
      <c r="E6" s="29"/>
      <c r="O6" s="26" t="s">
        <v>82</v>
      </c>
      <c r="P6" s="26">
        <f>F103</f>
        <v>91</v>
      </c>
      <c r="Q6" s="27">
        <f>H103</f>
        <v>377759.36852693337</v>
      </c>
      <c r="R6" s="27">
        <f>J103</f>
        <v>268642.12589234405</v>
      </c>
    </row>
    <row r="7" spans="1:18" ht="13" x14ac:dyDescent="0.25">
      <c r="A7" s="28" t="s">
        <v>48</v>
      </c>
      <c r="B7" s="29"/>
      <c r="C7" s="150">
        <f>Insumos!D35</f>
        <v>0.12</v>
      </c>
      <c r="D7" s="29"/>
      <c r="E7" s="29"/>
      <c r="K7" s="30"/>
      <c r="O7" s="67" t="s">
        <v>92</v>
      </c>
      <c r="P7" s="67">
        <f>SUM(P3:P6)</f>
        <v>212</v>
      </c>
      <c r="Q7" s="68">
        <f>SUM(Q3:Q6)</f>
        <v>511376.94663246674</v>
      </c>
      <c r="R7" s="68">
        <f>SUM(R3:R6)</f>
        <v>370667.16551396612</v>
      </c>
    </row>
    <row r="8" spans="1:18" ht="13" x14ac:dyDescent="0.25">
      <c r="A8" s="28" t="s">
        <v>49</v>
      </c>
      <c r="B8" s="30"/>
      <c r="C8" s="31">
        <f>Insumos!D21</f>
        <v>312477</v>
      </c>
      <c r="K8" s="32"/>
      <c r="O8" s="215" t="s">
        <v>83</v>
      </c>
      <c r="P8" s="216"/>
      <c r="Q8" s="68">
        <f>Q7/P7</f>
        <v>2412.1554086437109</v>
      </c>
      <c r="R8" s="68">
        <f>R7/P7</f>
        <v>1748.4300260092741</v>
      </c>
    </row>
    <row r="9" spans="1:18" ht="13" x14ac:dyDescent="0.25">
      <c r="A9" s="28" t="s">
        <v>50</v>
      </c>
      <c r="B9" s="30"/>
      <c r="C9" s="31">
        <f>C8-Rodagem!E3*Rodagem!C3</f>
        <v>307277.52</v>
      </c>
    </row>
    <row r="12" spans="1:18" s="28" customFormat="1" ht="13" x14ac:dyDescent="0.25">
      <c r="A12" s="211" t="s">
        <v>51</v>
      </c>
      <c r="C12" s="210" t="s">
        <v>52</v>
      </c>
      <c r="D12" s="210"/>
      <c r="E12" s="210"/>
      <c r="F12" s="212" t="s">
        <v>24</v>
      </c>
      <c r="G12" s="209" t="s">
        <v>16</v>
      </c>
      <c r="H12" s="209"/>
      <c r="I12" s="209" t="s">
        <v>15</v>
      </c>
      <c r="J12" s="209"/>
      <c r="K12" s="209" t="s">
        <v>28</v>
      </c>
      <c r="L12" s="209"/>
      <c r="O12" s="24"/>
      <c r="P12" s="24"/>
      <c r="Q12" s="24"/>
      <c r="R12" s="24"/>
    </row>
    <row r="13" spans="1:18" s="28" customFormat="1" ht="13" x14ac:dyDescent="0.25">
      <c r="A13" s="211"/>
      <c r="C13" s="33" t="s">
        <v>16</v>
      </c>
      <c r="D13" s="210" t="s">
        <v>15</v>
      </c>
      <c r="E13" s="210"/>
      <c r="F13" s="212"/>
      <c r="G13" s="34" t="s">
        <v>53</v>
      </c>
      <c r="H13" s="34" t="s">
        <v>54</v>
      </c>
      <c r="I13" s="34" t="s">
        <v>53</v>
      </c>
      <c r="J13" s="34" t="s">
        <v>54</v>
      </c>
      <c r="K13" s="34" t="s">
        <v>53</v>
      </c>
      <c r="L13" s="34" t="s">
        <v>54</v>
      </c>
    </row>
    <row r="14" spans="1:18" ht="13" x14ac:dyDescent="0.25">
      <c r="A14" s="24" t="s">
        <v>55</v>
      </c>
      <c r="B14" s="24">
        <f>C5</f>
        <v>7</v>
      </c>
      <c r="C14" s="35">
        <f>ROUND(((1-$C$6)*(B14/$B$25)),5)</f>
        <v>0.2</v>
      </c>
      <c r="D14" s="35">
        <v>1</v>
      </c>
      <c r="E14" s="35">
        <f>D14*$C$7</f>
        <v>0.12</v>
      </c>
      <c r="F14" s="36">
        <f>'Idade Frota'!C4</f>
        <v>0</v>
      </c>
      <c r="G14" s="37">
        <f>F14*$C$9*C14</f>
        <v>0</v>
      </c>
      <c r="H14" s="37">
        <f>G14/12</f>
        <v>0</v>
      </c>
      <c r="I14" s="37">
        <f>$C$8*E14*F14</f>
        <v>0</v>
      </c>
      <c r="J14" s="37">
        <f>I14/12</f>
        <v>0</v>
      </c>
      <c r="K14" s="37">
        <f>G14+I14</f>
        <v>0</v>
      </c>
      <c r="L14" s="37">
        <f>H14+J14</f>
        <v>0</v>
      </c>
      <c r="O14" s="28"/>
      <c r="P14" s="28"/>
      <c r="Q14" s="28"/>
      <c r="R14" s="28"/>
    </row>
    <row r="15" spans="1:18" x14ac:dyDescent="0.25">
      <c r="A15" s="24" t="s">
        <v>56</v>
      </c>
      <c r="B15" s="24">
        <f>IF((B14-1)&gt;=0,(B14-1),0)</f>
        <v>6</v>
      </c>
      <c r="C15" s="35">
        <f t="shared" ref="C15:C24" si="0">ROUND(((1-$C$6)*(B15/$B$25)),5)</f>
        <v>0.17143</v>
      </c>
      <c r="D15" s="35">
        <f>D14-C14</f>
        <v>0.8</v>
      </c>
      <c r="E15" s="35">
        <f>D15*$C$7</f>
        <v>9.6000000000000002E-2</v>
      </c>
      <c r="F15" s="36">
        <f>'Idade Frota'!C5</f>
        <v>0</v>
      </c>
      <c r="G15" s="37">
        <f>F15*$C$9*C15</f>
        <v>0</v>
      </c>
      <c r="H15" s="37">
        <f t="shared" ref="H15:J24" si="1">G15/12</f>
        <v>0</v>
      </c>
      <c r="I15" s="37">
        <f t="shared" ref="I15:I24" si="2">$C$8*E15*F15</f>
        <v>0</v>
      </c>
      <c r="J15" s="37">
        <f t="shared" si="1"/>
        <v>0</v>
      </c>
      <c r="K15" s="37">
        <f t="shared" ref="K15:L24" si="3">G15+I15</f>
        <v>0</v>
      </c>
      <c r="L15" s="37">
        <f t="shared" si="3"/>
        <v>0</v>
      </c>
    </row>
    <row r="16" spans="1:18" x14ac:dyDescent="0.25">
      <c r="A16" s="24" t="s">
        <v>57</v>
      </c>
      <c r="B16" s="24">
        <f>IF((B15-1)&gt;=0,(B15-1),0)</f>
        <v>5</v>
      </c>
      <c r="C16" s="35">
        <f t="shared" si="0"/>
        <v>0.14285999999999999</v>
      </c>
      <c r="D16" s="35">
        <f t="shared" ref="D16:D24" si="4">D15-C15</f>
        <v>0.62857000000000007</v>
      </c>
      <c r="E16" s="35">
        <f>D16*$C$7</f>
        <v>7.5428400000000007E-2</v>
      </c>
      <c r="F16" s="36">
        <f>'Idade Frota'!C6</f>
        <v>0</v>
      </c>
      <c r="G16" s="37">
        <f>F16*$C$9*C16</f>
        <v>0</v>
      </c>
      <c r="H16" s="37">
        <f t="shared" si="1"/>
        <v>0</v>
      </c>
      <c r="I16" s="37">
        <f t="shared" si="2"/>
        <v>0</v>
      </c>
      <c r="J16" s="37">
        <f t="shared" si="1"/>
        <v>0</v>
      </c>
      <c r="K16" s="37">
        <f t="shared" si="3"/>
        <v>0</v>
      </c>
      <c r="L16" s="37">
        <f t="shared" si="3"/>
        <v>0</v>
      </c>
    </row>
    <row r="17" spans="1:18" x14ac:dyDescent="0.25">
      <c r="A17" s="24" t="s">
        <v>58</v>
      </c>
      <c r="B17" s="24">
        <f>IF((B16-1)&gt;=0,(B16-1),0)</f>
        <v>4</v>
      </c>
      <c r="C17" s="35">
        <f t="shared" si="0"/>
        <v>0.11429</v>
      </c>
      <c r="D17" s="35">
        <f t="shared" si="4"/>
        <v>0.48571000000000009</v>
      </c>
      <c r="E17" s="35">
        <f>D17*$C$7</f>
        <v>5.8285200000000009E-2</v>
      </c>
      <c r="F17" s="36">
        <f>'Idade Frota'!C7</f>
        <v>0</v>
      </c>
      <c r="G17" s="37">
        <f>F17*$C$9*C17</f>
        <v>0</v>
      </c>
      <c r="H17" s="37">
        <f t="shared" si="1"/>
        <v>0</v>
      </c>
      <c r="I17" s="37">
        <f t="shared" si="2"/>
        <v>0</v>
      </c>
      <c r="J17" s="37">
        <f t="shared" si="1"/>
        <v>0</v>
      </c>
      <c r="K17" s="37">
        <f t="shared" si="3"/>
        <v>0</v>
      </c>
      <c r="L17" s="37">
        <f t="shared" si="3"/>
        <v>0</v>
      </c>
    </row>
    <row r="18" spans="1:18" x14ac:dyDescent="0.25">
      <c r="A18" s="24" t="s">
        <v>59</v>
      </c>
      <c r="B18" s="24">
        <f>IF((B17-1)&gt;=0,(B17-1),0)</f>
        <v>3</v>
      </c>
      <c r="C18" s="35">
        <f t="shared" si="0"/>
        <v>8.5709999999999995E-2</v>
      </c>
      <c r="D18" s="35">
        <f t="shared" si="4"/>
        <v>0.37142000000000008</v>
      </c>
      <c r="E18" s="35">
        <f>D18*$C$7</f>
        <v>4.457040000000001E-2</v>
      </c>
      <c r="F18" s="36">
        <f>'Idade Frota'!C8</f>
        <v>0</v>
      </c>
      <c r="G18" s="37">
        <f>F18*$C$9*C18</f>
        <v>0</v>
      </c>
      <c r="H18" s="37">
        <f t="shared" si="1"/>
        <v>0</v>
      </c>
      <c r="I18" s="37">
        <f t="shared" si="2"/>
        <v>0</v>
      </c>
      <c r="J18" s="37">
        <f t="shared" si="1"/>
        <v>0</v>
      </c>
      <c r="K18" s="37">
        <f t="shared" si="3"/>
        <v>0</v>
      </c>
      <c r="L18" s="37">
        <f t="shared" si="3"/>
        <v>0</v>
      </c>
    </row>
    <row r="19" spans="1:18" x14ac:dyDescent="0.25">
      <c r="A19" s="38" t="s">
        <v>60</v>
      </c>
      <c r="B19" s="24">
        <f t="shared" ref="B19:B24" si="5">IF((B18-1)&gt;=0,(B18-1),0)</f>
        <v>2</v>
      </c>
      <c r="C19" s="35">
        <f t="shared" si="0"/>
        <v>5.7140000000000003E-2</v>
      </c>
      <c r="D19" s="35">
        <f t="shared" si="4"/>
        <v>0.28571000000000008</v>
      </c>
      <c r="E19" s="35">
        <f t="shared" ref="E19:E24" si="6">D19*$C$7</f>
        <v>3.4285200000000009E-2</v>
      </c>
      <c r="F19" s="36">
        <f>'Idade Frota'!C9</f>
        <v>0</v>
      </c>
      <c r="G19" s="37">
        <f t="shared" ref="G19:G24" si="7">F19*$C$9*C19</f>
        <v>0</v>
      </c>
      <c r="H19" s="37">
        <f t="shared" si="1"/>
        <v>0</v>
      </c>
      <c r="I19" s="37">
        <f t="shared" si="2"/>
        <v>0</v>
      </c>
      <c r="J19" s="37">
        <f t="shared" si="1"/>
        <v>0</v>
      </c>
      <c r="K19" s="37">
        <f t="shared" si="3"/>
        <v>0</v>
      </c>
      <c r="L19" s="37">
        <f t="shared" si="3"/>
        <v>0</v>
      </c>
    </row>
    <row r="20" spans="1:18" x14ac:dyDescent="0.25">
      <c r="A20" s="38" t="s">
        <v>61</v>
      </c>
      <c r="B20" s="24">
        <f t="shared" si="5"/>
        <v>1</v>
      </c>
      <c r="C20" s="35">
        <f t="shared" si="0"/>
        <v>2.8570000000000002E-2</v>
      </c>
      <c r="D20" s="35">
        <f t="shared" si="4"/>
        <v>0.22857000000000008</v>
      </c>
      <c r="E20" s="35">
        <f t="shared" si="6"/>
        <v>2.7428400000000009E-2</v>
      </c>
      <c r="F20" s="36">
        <f>'Idade Frota'!C10</f>
        <v>8</v>
      </c>
      <c r="G20" s="37">
        <f t="shared" si="7"/>
        <v>70231.349971200005</v>
      </c>
      <c r="H20" s="37">
        <f t="shared" si="1"/>
        <v>5852.6124976000001</v>
      </c>
      <c r="I20" s="37">
        <f t="shared" si="2"/>
        <v>68565.953174400027</v>
      </c>
      <c r="J20" s="37">
        <f t="shared" si="1"/>
        <v>5713.8294312000025</v>
      </c>
      <c r="K20" s="37">
        <f t="shared" si="3"/>
        <v>138797.30314560002</v>
      </c>
      <c r="L20" s="37">
        <f t="shared" si="3"/>
        <v>11566.441928800003</v>
      </c>
    </row>
    <row r="21" spans="1:18" x14ac:dyDescent="0.25">
      <c r="A21" s="38" t="s">
        <v>66</v>
      </c>
      <c r="B21" s="24">
        <f t="shared" si="5"/>
        <v>0</v>
      </c>
      <c r="C21" s="35">
        <f t="shared" si="0"/>
        <v>0</v>
      </c>
      <c r="D21" s="35">
        <f t="shared" si="4"/>
        <v>0.20000000000000007</v>
      </c>
      <c r="E21" s="35">
        <f t="shared" si="6"/>
        <v>2.4000000000000007E-2</v>
      </c>
      <c r="F21" s="36">
        <f>'Idade Frota'!C11</f>
        <v>2</v>
      </c>
      <c r="G21" s="37">
        <f t="shared" si="7"/>
        <v>0</v>
      </c>
      <c r="H21" s="37">
        <f t="shared" si="1"/>
        <v>0</v>
      </c>
      <c r="I21" s="37">
        <f t="shared" si="2"/>
        <v>14998.896000000004</v>
      </c>
      <c r="J21" s="37">
        <f t="shared" si="1"/>
        <v>1249.9080000000004</v>
      </c>
      <c r="K21" s="37">
        <f t="shared" si="3"/>
        <v>14998.896000000004</v>
      </c>
      <c r="L21" s="37">
        <f t="shared" si="3"/>
        <v>1249.9080000000004</v>
      </c>
    </row>
    <row r="22" spans="1:18" x14ac:dyDescent="0.25">
      <c r="A22" s="38" t="s">
        <v>63</v>
      </c>
      <c r="B22" s="24">
        <f t="shared" si="5"/>
        <v>0</v>
      </c>
      <c r="C22" s="35">
        <f t="shared" si="0"/>
        <v>0</v>
      </c>
      <c r="D22" s="35">
        <f t="shared" si="4"/>
        <v>0.20000000000000007</v>
      </c>
      <c r="E22" s="35">
        <f t="shared" si="6"/>
        <v>2.4000000000000007E-2</v>
      </c>
      <c r="F22" s="36">
        <f>'Idade Frota'!C12</f>
        <v>0</v>
      </c>
      <c r="G22" s="37">
        <f t="shared" si="7"/>
        <v>0</v>
      </c>
      <c r="H22" s="37">
        <f t="shared" si="1"/>
        <v>0</v>
      </c>
      <c r="I22" s="37">
        <f t="shared" si="2"/>
        <v>0</v>
      </c>
      <c r="J22" s="37">
        <f t="shared" si="1"/>
        <v>0</v>
      </c>
      <c r="K22" s="37">
        <f t="shared" si="3"/>
        <v>0</v>
      </c>
      <c r="L22" s="37">
        <f t="shared" si="3"/>
        <v>0</v>
      </c>
    </row>
    <row r="23" spans="1:18" x14ac:dyDescent="0.25">
      <c r="A23" s="38" t="s">
        <v>64</v>
      </c>
      <c r="B23" s="24">
        <f t="shared" si="5"/>
        <v>0</v>
      </c>
      <c r="C23" s="35">
        <f t="shared" si="0"/>
        <v>0</v>
      </c>
      <c r="D23" s="35">
        <f t="shared" si="4"/>
        <v>0.20000000000000007</v>
      </c>
      <c r="E23" s="35">
        <f t="shared" si="6"/>
        <v>2.4000000000000007E-2</v>
      </c>
      <c r="F23" s="36">
        <f>'Idade Frota'!C13</f>
        <v>0</v>
      </c>
      <c r="G23" s="37">
        <f t="shared" si="7"/>
        <v>0</v>
      </c>
      <c r="H23" s="37">
        <f t="shared" si="1"/>
        <v>0</v>
      </c>
      <c r="I23" s="37">
        <f t="shared" si="2"/>
        <v>0</v>
      </c>
      <c r="J23" s="37">
        <f t="shared" si="1"/>
        <v>0</v>
      </c>
      <c r="K23" s="37">
        <f t="shared" si="3"/>
        <v>0</v>
      </c>
      <c r="L23" s="37">
        <f t="shared" si="3"/>
        <v>0</v>
      </c>
    </row>
    <row r="24" spans="1:18" x14ac:dyDescent="0.25">
      <c r="A24" s="38" t="s">
        <v>65</v>
      </c>
      <c r="B24" s="24">
        <f t="shared" si="5"/>
        <v>0</v>
      </c>
      <c r="C24" s="35">
        <f t="shared" si="0"/>
        <v>0</v>
      </c>
      <c r="D24" s="35">
        <f t="shared" si="4"/>
        <v>0.20000000000000007</v>
      </c>
      <c r="E24" s="35">
        <f t="shared" si="6"/>
        <v>2.4000000000000007E-2</v>
      </c>
      <c r="F24" s="36">
        <f>'Idade Frota'!C14</f>
        <v>0</v>
      </c>
      <c r="G24" s="37">
        <f t="shared" si="7"/>
        <v>0</v>
      </c>
      <c r="H24" s="37">
        <f t="shared" si="1"/>
        <v>0</v>
      </c>
      <c r="I24" s="37">
        <f t="shared" si="2"/>
        <v>0</v>
      </c>
      <c r="J24" s="37">
        <f t="shared" si="1"/>
        <v>0</v>
      </c>
      <c r="K24" s="37">
        <f t="shared" si="3"/>
        <v>0</v>
      </c>
      <c r="L24" s="37">
        <f t="shared" si="3"/>
        <v>0</v>
      </c>
    </row>
    <row r="25" spans="1:18" s="28" customFormat="1" ht="13" x14ac:dyDescent="0.25">
      <c r="B25" s="28">
        <f>SUM(B14:B24)</f>
        <v>28</v>
      </c>
      <c r="E25" s="34" t="s">
        <v>28</v>
      </c>
      <c r="F25" s="34">
        <f>SUM(F14:F24)</f>
        <v>10</v>
      </c>
      <c r="G25" s="39">
        <f t="shared" ref="G25:L25" si="8">SUM(G14:G24)</f>
        <v>70231.349971200005</v>
      </c>
      <c r="H25" s="39">
        <f t="shared" si="8"/>
        <v>5852.6124976000001</v>
      </c>
      <c r="I25" s="39">
        <f t="shared" si="8"/>
        <v>83564.849174400035</v>
      </c>
      <c r="J25" s="39">
        <f t="shared" si="8"/>
        <v>6963.7374312000029</v>
      </c>
      <c r="K25" s="39">
        <f t="shared" si="8"/>
        <v>153796.19914560003</v>
      </c>
      <c r="L25" s="39">
        <f t="shared" si="8"/>
        <v>12816.349928800002</v>
      </c>
      <c r="O25" s="24"/>
      <c r="P25" s="24"/>
      <c r="Q25" s="24"/>
      <c r="R25" s="24"/>
    </row>
    <row r="26" spans="1:18" s="28" customFormat="1" ht="13" x14ac:dyDescent="0.25">
      <c r="E26" s="34" t="s">
        <v>26</v>
      </c>
      <c r="F26" s="34"/>
      <c r="G26" s="39">
        <f t="shared" ref="G26:L26" si="9">IF($F$25=0,0,G25/$F$25)</f>
        <v>7023.1349971200007</v>
      </c>
      <c r="H26" s="39">
        <f t="shared" si="9"/>
        <v>585.26124976000006</v>
      </c>
      <c r="I26" s="39">
        <f t="shared" si="9"/>
        <v>8356.4849174400042</v>
      </c>
      <c r="J26" s="39">
        <f t="shared" si="9"/>
        <v>696.37374312000031</v>
      </c>
      <c r="K26" s="39">
        <f t="shared" si="9"/>
        <v>15379.619914560002</v>
      </c>
      <c r="L26" s="39">
        <f t="shared" si="9"/>
        <v>1281.6349928800003</v>
      </c>
    </row>
    <row r="27" spans="1:18" ht="13" x14ac:dyDescent="0.25">
      <c r="O27" s="28"/>
      <c r="P27" s="28"/>
      <c r="Q27" s="28"/>
      <c r="R27" s="28"/>
    </row>
    <row r="30" spans="1:18" ht="13" x14ac:dyDescent="0.25">
      <c r="A30" s="28" t="s">
        <v>39</v>
      </c>
      <c r="C30" s="28" t="s">
        <v>80</v>
      </c>
    </row>
    <row r="31" spans="1:18" ht="13" x14ac:dyDescent="0.25">
      <c r="A31" s="28" t="s">
        <v>46</v>
      </c>
      <c r="C31" s="149">
        <f>Insumos!D28</f>
        <v>7</v>
      </c>
    </row>
    <row r="32" spans="1:18" ht="13" x14ac:dyDescent="0.25">
      <c r="A32" s="28" t="s">
        <v>47</v>
      </c>
      <c r="B32" s="29"/>
      <c r="C32" s="150">
        <f>Insumos!D32</f>
        <v>0.2</v>
      </c>
      <c r="D32" s="29"/>
      <c r="E32" s="29"/>
    </row>
    <row r="33" spans="1:18" ht="13" x14ac:dyDescent="0.25">
      <c r="A33" s="28" t="s">
        <v>48</v>
      </c>
      <c r="B33" s="29"/>
      <c r="C33" s="150">
        <f>C7</f>
        <v>0.12</v>
      </c>
      <c r="D33" s="29"/>
      <c r="E33" s="29"/>
    </row>
    <row r="34" spans="1:18" ht="13" x14ac:dyDescent="0.25">
      <c r="A34" s="28" t="s">
        <v>49</v>
      </c>
      <c r="B34" s="30"/>
      <c r="C34" s="31">
        <f>Insumos!D22</f>
        <v>344322.6</v>
      </c>
    </row>
    <row r="35" spans="1:18" ht="13" x14ac:dyDescent="0.25">
      <c r="A35" s="28" t="s">
        <v>50</v>
      </c>
      <c r="B35" s="30"/>
      <c r="C35" s="31">
        <f>C34-Rodagem!C4*Rodagem!E4</f>
        <v>335238.53999999998</v>
      </c>
    </row>
    <row r="38" spans="1:18" s="28" customFormat="1" ht="13" x14ac:dyDescent="0.25">
      <c r="A38" s="211" t="s">
        <v>51</v>
      </c>
      <c r="C38" s="210" t="s">
        <v>52</v>
      </c>
      <c r="D38" s="210"/>
      <c r="E38" s="210"/>
      <c r="F38" s="212" t="s">
        <v>24</v>
      </c>
      <c r="G38" s="209" t="s">
        <v>16</v>
      </c>
      <c r="H38" s="209"/>
      <c r="I38" s="209" t="s">
        <v>15</v>
      </c>
      <c r="J38" s="209"/>
      <c r="K38" s="209" t="s">
        <v>28</v>
      </c>
      <c r="L38" s="209"/>
      <c r="O38" s="24"/>
      <c r="P38" s="24"/>
      <c r="Q38" s="24"/>
      <c r="R38" s="24"/>
    </row>
    <row r="39" spans="1:18" s="28" customFormat="1" ht="13" x14ac:dyDescent="0.25">
      <c r="A39" s="211"/>
      <c r="C39" s="33" t="s">
        <v>16</v>
      </c>
      <c r="D39" s="210" t="s">
        <v>15</v>
      </c>
      <c r="E39" s="210"/>
      <c r="F39" s="212"/>
      <c r="G39" s="34" t="s">
        <v>53</v>
      </c>
      <c r="H39" s="34" t="s">
        <v>54</v>
      </c>
      <c r="I39" s="34" t="s">
        <v>53</v>
      </c>
      <c r="J39" s="34" t="s">
        <v>54</v>
      </c>
      <c r="K39" s="34" t="s">
        <v>53</v>
      </c>
      <c r="L39" s="34" t="s">
        <v>54</v>
      </c>
    </row>
    <row r="40" spans="1:18" ht="13" x14ac:dyDescent="0.25">
      <c r="A40" s="24" t="s">
        <v>55</v>
      </c>
      <c r="B40" s="24">
        <f>C31</f>
        <v>7</v>
      </c>
      <c r="C40" s="35">
        <f>ROUND(((1-$C$32)*(B40/$B$51)),5)</f>
        <v>0.2</v>
      </c>
      <c r="D40" s="35">
        <v>1</v>
      </c>
      <c r="E40" s="35">
        <f t="shared" ref="E40:E50" si="10">D40*$C$33</f>
        <v>0.12</v>
      </c>
      <c r="F40" s="36">
        <f>'Idade Frota'!D4</f>
        <v>0</v>
      </c>
      <c r="G40" s="37">
        <f t="shared" ref="G40:G50" si="11">F40*$C$35*C40</f>
        <v>0</v>
      </c>
      <c r="H40" s="37">
        <f t="shared" ref="H40:H50" si="12">G40/12</f>
        <v>0</v>
      </c>
      <c r="I40" s="37">
        <f>$C$34*E40*F40</f>
        <v>0</v>
      </c>
      <c r="J40" s="37">
        <f t="shared" ref="J40:J50" si="13">I40/12</f>
        <v>0</v>
      </c>
      <c r="K40" s="37">
        <f t="shared" ref="K40:L50" si="14">G40+I40</f>
        <v>0</v>
      </c>
      <c r="L40" s="37">
        <f t="shared" si="14"/>
        <v>0</v>
      </c>
      <c r="O40" s="28"/>
      <c r="P40" s="28"/>
      <c r="Q40" s="28"/>
      <c r="R40" s="28"/>
    </row>
    <row r="41" spans="1:18" x14ac:dyDescent="0.25">
      <c r="A41" s="24" t="s">
        <v>56</v>
      </c>
      <c r="B41" s="24">
        <f>IF((B40-1)&gt;=0,(B40-1),0)</f>
        <v>6</v>
      </c>
      <c r="C41" s="35">
        <f t="shared" ref="C41:C50" si="15">ROUND(((1-$C$32)*(B41/$B$51)),5)</f>
        <v>0.17143</v>
      </c>
      <c r="D41" s="35">
        <f>D40-C40</f>
        <v>0.8</v>
      </c>
      <c r="E41" s="35">
        <f>D41*$C$33</f>
        <v>9.6000000000000002E-2</v>
      </c>
      <c r="F41" s="36">
        <f>'Idade Frota'!D5</f>
        <v>0</v>
      </c>
      <c r="G41" s="37">
        <f t="shared" si="11"/>
        <v>0</v>
      </c>
      <c r="H41" s="37">
        <f t="shared" si="12"/>
        <v>0</v>
      </c>
      <c r="I41" s="37">
        <f t="shared" ref="I41:I50" si="16">$C$34*E41*F41</f>
        <v>0</v>
      </c>
      <c r="J41" s="37">
        <f t="shared" si="13"/>
        <v>0</v>
      </c>
      <c r="K41" s="37">
        <f t="shared" si="14"/>
        <v>0</v>
      </c>
      <c r="L41" s="37">
        <f t="shared" si="14"/>
        <v>0</v>
      </c>
    </row>
    <row r="42" spans="1:18" x14ac:dyDescent="0.25">
      <c r="A42" s="24" t="s">
        <v>57</v>
      </c>
      <c r="B42" s="24">
        <f>IF((B41-1)&gt;=0,(B41-1),0)</f>
        <v>5</v>
      </c>
      <c r="C42" s="35">
        <f t="shared" si="15"/>
        <v>0.14285999999999999</v>
      </c>
      <c r="D42" s="35">
        <f t="shared" ref="D42:D50" si="17">D41-C41</f>
        <v>0.62857000000000007</v>
      </c>
      <c r="E42" s="35">
        <f t="shared" si="10"/>
        <v>7.5428400000000007E-2</v>
      </c>
      <c r="F42" s="36">
        <f>'Idade Frota'!D6</f>
        <v>0</v>
      </c>
      <c r="G42" s="37">
        <f t="shared" si="11"/>
        <v>0</v>
      </c>
      <c r="H42" s="37">
        <f t="shared" si="12"/>
        <v>0</v>
      </c>
      <c r="I42" s="37">
        <f t="shared" si="16"/>
        <v>0</v>
      </c>
      <c r="J42" s="37">
        <f t="shared" si="13"/>
        <v>0</v>
      </c>
      <c r="K42" s="37">
        <f t="shared" si="14"/>
        <v>0</v>
      </c>
      <c r="L42" s="37">
        <f t="shared" si="14"/>
        <v>0</v>
      </c>
    </row>
    <row r="43" spans="1:18" x14ac:dyDescent="0.25">
      <c r="A43" s="24" t="s">
        <v>58</v>
      </c>
      <c r="B43" s="24">
        <f>IF((B42-1)&gt;=0,(B42-1),0)</f>
        <v>4</v>
      </c>
      <c r="C43" s="35">
        <f t="shared" si="15"/>
        <v>0.11429</v>
      </c>
      <c r="D43" s="35">
        <f t="shared" si="17"/>
        <v>0.48571000000000009</v>
      </c>
      <c r="E43" s="35">
        <f t="shared" si="10"/>
        <v>5.8285200000000009E-2</v>
      </c>
      <c r="F43" s="36">
        <f>'Idade Frota'!D7</f>
        <v>0</v>
      </c>
      <c r="G43" s="37">
        <f t="shared" si="11"/>
        <v>0</v>
      </c>
      <c r="H43" s="37">
        <f t="shared" si="12"/>
        <v>0</v>
      </c>
      <c r="I43" s="37">
        <f t="shared" si="16"/>
        <v>0</v>
      </c>
      <c r="J43" s="37">
        <f t="shared" si="13"/>
        <v>0</v>
      </c>
      <c r="K43" s="37">
        <f t="shared" si="14"/>
        <v>0</v>
      </c>
      <c r="L43" s="37">
        <f t="shared" si="14"/>
        <v>0</v>
      </c>
    </row>
    <row r="44" spans="1:18" x14ac:dyDescent="0.25">
      <c r="A44" s="24" t="s">
        <v>59</v>
      </c>
      <c r="B44" s="24">
        <f>IF((B43-1)&gt;=0,(B43-1),0)</f>
        <v>3</v>
      </c>
      <c r="C44" s="35">
        <f t="shared" si="15"/>
        <v>8.5709999999999995E-2</v>
      </c>
      <c r="D44" s="35">
        <f t="shared" si="17"/>
        <v>0.37142000000000008</v>
      </c>
      <c r="E44" s="35">
        <f t="shared" si="10"/>
        <v>4.457040000000001E-2</v>
      </c>
      <c r="F44" s="36">
        <f>'Idade Frota'!D8</f>
        <v>0</v>
      </c>
      <c r="G44" s="37">
        <f t="shared" si="11"/>
        <v>0</v>
      </c>
      <c r="H44" s="37">
        <f t="shared" si="12"/>
        <v>0</v>
      </c>
      <c r="I44" s="37">
        <f t="shared" si="16"/>
        <v>0</v>
      </c>
      <c r="J44" s="37">
        <f t="shared" si="13"/>
        <v>0</v>
      </c>
      <c r="K44" s="37">
        <f t="shared" si="14"/>
        <v>0</v>
      </c>
      <c r="L44" s="37">
        <f t="shared" si="14"/>
        <v>0</v>
      </c>
    </row>
    <row r="45" spans="1:18" x14ac:dyDescent="0.25">
      <c r="A45" s="38" t="s">
        <v>60</v>
      </c>
      <c r="B45" s="24">
        <f t="shared" ref="B45:B50" si="18">IF((B44-1)&gt;=0,(B44-1),0)</f>
        <v>2</v>
      </c>
      <c r="C45" s="35">
        <f t="shared" si="15"/>
        <v>5.7140000000000003E-2</v>
      </c>
      <c r="D45" s="35">
        <f t="shared" si="17"/>
        <v>0.28571000000000008</v>
      </c>
      <c r="E45" s="35">
        <f>D45*$C$33</f>
        <v>3.4285200000000009E-2</v>
      </c>
      <c r="F45" s="36">
        <f>'Idade Frota'!D9</f>
        <v>0</v>
      </c>
      <c r="G45" s="37">
        <f>F45*$C$35*C45</f>
        <v>0</v>
      </c>
      <c r="H45" s="37">
        <f>G45/12</f>
        <v>0</v>
      </c>
      <c r="I45" s="37">
        <f t="shared" si="16"/>
        <v>0</v>
      </c>
      <c r="J45" s="37">
        <f>I45/12</f>
        <v>0</v>
      </c>
      <c r="K45" s="37">
        <f t="shared" si="14"/>
        <v>0</v>
      </c>
      <c r="L45" s="37">
        <f t="shared" si="14"/>
        <v>0</v>
      </c>
    </row>
    <row r="46" spans="1:18" x14ac:dyDescent="0.25">
      <c r="A46" s="38" t="s">
        <v>61</v>
      </c>
      <c r="B46" s="24">
        <f t="shared" si="18"/>
        <v>1</v>
      </c>
      <c r="C46" s="35">
        <f t="shared" si="15"/>
        <v>2.8570000000000002E-2</v>
      </c>
      <c r="D46" s="35">
        <f t="shared" si="17"/>
        <v>0.22857000000000008</v>
      </c>
      <c r="E46" s="35">
        <f>D46*$C$33</f>
        <v>2.7428400000000009E-2</v>
      </c>
      <c r="F46" s="36">
        <f>'Idade Frota'!D10</f>
        <v>8</v>
      </c>
      <c r="G46" s="37">
        <f>F46*$C$35*C46</f>
        <v>76622.120702400003</v>
      </c>
      <c r="H46" s="37">
        <f>G46/12</f>
        <v>6385.1767252</v>
      </c>
      <c r="I46" s="37">
        <f t="shared" si="16"/>
        <v>75553.744014720025</v>
      </c>
      <c r="J46" s="37">
        <f>I46/12</f>
        <v>6296.1453345600021</v>
      </c>
      <c r="K46" s="37">
        <f t="shared" si="14"/>
        <v>152175.86471712001</v>
      </c>
      <c r="L46" s="37">
        <f t="shared" si="14"/>
        <v>12681.322059760001</v>
      </c>
    </row>
    <row r="47" spans="1:18" x14ac:dyDescent="0.25">
      <c r="A47" s="38" t="s">
        <v>66</v>
      </c>
      <c r="B47" s="24">
        <f t="shared" si="18"/>
        <v>0</v>
      </c>
      <c r="C47" s="35">
        <f t="shared" si="15"/>
        <v>0</v>
      </c>
      <c r="D47" s="35">
        <f t="shared" si="17"/>
        <v>0.20000000000000007</v>
      </c>
      <c r="E47" s="35">
        <f>D47*$C$33</f>
        <v>2.4000000000000007E-2</v>
      </c>
      <c r="F47" s="36">
        <f>'Idade Frota'!D11</f>
        <v>0</v>
      </c>
      <c r="G47" s="37">
        <f>F47*$C$35*C47</f>
        <v>0</v>
      </c>
      <c r="H47" s="37">
        <f>G47/12</f>
        <v>0</v>
      </c>
      <c r="I47" s="37">
        <f t="shared" si="16"/>
        <v>0</v>
      </c>
      <c r="J47" s="37">
        <f>I47/12</f>
        <v>0</v>
      </c>
      <c r="K47" s="37">
        <f t="shared" si="14"/>
        <v>0</v>
      </c>
      <c r="L47" s="37">
        <f t="shared" si="14"/>
        <v>0</v>
      </c>
    </row>
    <row r="48" spans="1:18" x14ac:dyDescent="0.25">
      <c r="A48" s="38" t="s">
        <v>63</v>
      </c>
      <c r="B48" s="24">
        <f t="shared" si="18"/>
        <v>0</v>
      </c>
      <c r="C48" s="35">
        <f t="shared" si="15"/>
        <v>0</v>
      </c>
      <c r="D48" s="35">
        <f t="shared" si="17"/>
        <v>0.20000000000000007</v>
      </c>
      <c r="E48" s="35">
        <f>D48*$C$33</f>
        <v>2.4000000000000007E-2</v>
      </c>
      <c r="F48" s="36">
        <f>'Idade Frota'!D12</f>
        <v>0</v>
      </c>
      <c r="G48" s="37">
        <f>F48*$C$35*C48</f>
        <v>0</v>
      </c>
      <c r="H48" s="37">
        <f>G48/12</f>
        <v>0</v>
      </c>
      <c r="I48" s="37">
        <f t="shared" si="16"/>
        <v>0</v>
      </c>
      <c r="J48" s="37">
        <f>I48/12</f>
        <v>0</v>
      </c>
      <c r="K48" s="37">
        <f t="shared" si="14"/>
        <v>0</v>
      </c>
      <c r="L48" s="37">
        <f t="shared" si="14"/>
        <v>0</v>
      </c>
    </row>
    <row r="49" spans="1:18" x14ac:dyDescent="0.25">
      <c r="A49" s="38" t="s">
        <v>64</v>
      </c>
      <c r="B49" s="24">
        <f t="shared" si="18"/>
        <v>0</v>
      </c>
      <c r="C49" s="35">
        <f t="shared" si="15"/>
        <v>0</v>
      </c>
      <c r="D49" s="35">
        <f t="shared" si="17"/>
        <v>0.20000000000000007</v>
      </c>
      <c r="E49" s="35">
        <f>D49*$C$33</f>
        <v>2.4000000000000007E-2</v>
      </c>
      <c r="F49" s="36">
        <f>'Idade Frota'!D13</f>
        <v>0</v>
      </c>
      <c r="G49" s="37">
        <f>F49*$C$35*C49</f>
        <v>0</v>
      </c>
      <c r="H49" s="37">
        <f>G49/12</f>
        <v>0</v>
      </c>
      <c r="I49" s="37">
        <f t="shared" si="16"/>
        <v>0</v>
      </c>
      <c r="J49" s="37">
        <f>I49/12</f>
        <v>0</v>
      </c>
      <c r="K49" s="37">
        <f t="shared" si="14"/>
        <v>0</v>
      </c>
      <c r="L49" s="37">
        <f t="shared" si="14"/>
        <v>0</v>
      </c>
    </row>
    <row r="50" spans="1:18" x14ac:dyDescent="0.25">
      <c r="A50" s="38" t="s">
        <v>65</v>
      </c>
      <c r="B50" s="24">
        <f t="shared" si="18"/>
        <v>0</v>
      </c>
      <c r="C50" s="35">
        <f t="shared" si="15"/>
        <v>0</v>
      </c>
      <c r="D50" s="35">
        <f t="shared" si="17"/>
        <v>0.20000000000000007</v>
      </c>
      <c r="E50" s="35">
        <f t="shared" si="10"/>
        <v>2.4000000000000007E-2</v>
      </c>
      <c r="F50" s="36">
        <f>'Idade Frota'!D14</f>
        <v>4</v>
      </c>
      <c r="G50" s="37">
        <f t="shared" si="11"/>
        <v>0</v>
      </c>
      <c r="H50" s="37">
        <f t="shared" si="12"/>
        <v>0</v>
      </c>
      <c r="I50" s="37">
        <f t="shared" si="16"/>
        <v>33054.969600000011</v>
      </c>
      <c r="J50" s="37">
        <f t="shared" si="13"/>
        <v>2754.5808000000011</v>
      </c>
      <c r="K50" s="37">
        <f t="shared" si="14"/>
        <v>33054.969600000011</v>
      </c>
      <c r="L50" s="37">
        <f t="shared" si="14"/>
        <v>2754.5808000000011</v>
      </c>
    </row>
    <row r="51" spans="1:18" s="28" customFormat="1" ht="13" x14ac:dyDescent="0.25">
      <c r="B51" s="28">
        <f>SUM(B40:B50)</f>
        <v>28</v>
      </c>
      <c r="E51" s="34" t="s">
        <v>28</v>
      </c>
      <c r="F51" s="34">
        <f>SUM(F40:F50)</f>
        <v>12</v>
      </c>
      <c r="G51" s="39">
        <f>SUM(G40:G50)</f>
        <v>76622.120702400003</v>
      </c>
      <c r="H51" s="39">
        <f t="shared" ref="H51:L51" si="19">SUM(H40:H50)</f>
        <v>6385.1767252</v>
      </c>
      <c r="I51" s="39">
        <f t="shared" si="19"/>
        <v>108608.71361472004</v>
      </c>
      <c r="J51" s="39">
        <f t="shared" si="19"/>
        <v>9050.7261345600036</v>
      </c>
      <c r="K51" s="39">
        <f t="shared" si="19"/>
        <v>185230.83431712002</v>
      </c>
      <c r="L51" s="39">
        <f t="shared" si="19"/>
        <v>15435.902859760003</v>
      </c>
      <c r="O51" s="24"/>
      <c r="P51" s="24"/>
      <c r="Q51" s="24"/>
      <c r="R51" s="24"/>
    </row>
    <row r="52" spans="1:18" s="28" customFormat="1" ht="13" x14ac:dyDescent="0.25">
      <c r="E52" s="34" t="s">
        <v>26</v>
      </c>
      <c r="F52" s="34"/>
      <c r="G52" s="39">
        <f t="shared" ref="G52:L52" si="20">IF($F$51=0,0,G51/$F$51)</f>
        <v>6385.1767252</v>
      </c>
      <c r="H52" s="39">
        <f t="shared" si="20"/>
        <v>532.09806043333333</v>
      </c>
      <c r="I52" s="39">
        <f t="shared" si="20"/>
        <v>9050.7261345600036</v>
      </c>
      <c r="J52" s="39">
        <f t="shared" si="20"/>
        <v>754.22717788000034</v>
      </c>
      <c r="K52" s="39">
        <f t="shared" si="20"/>
        <v>15435.902859760003</v>
      </c>
      <c r="L52" s="39">
        <f t="shared" si="20"/>
        <v>1286.3252383133336</v>
      </c>
    </row>
    <row r="53" spans="1:18" s="28" customFormat="1" ht="13" x14ac:dyDescent="0.25">
      <c r="E53" s="44"/>
      <c r="F53" s="44"/>
      <c r="G53" s="45"/>
      <c r="H53" s="45"/>
      <c r="I53" s="45"/>
      <c r="J53" s="45"/>
      <c r="K53" s="45"/>
      <c r="L53" s="45"/>
    </row>
    <row r="54" spans="1:18" s="28" customFormat="1" ht="13" x14ac:dyDescent="0.25">
      <c r="E54" s="44"/>
      <c r="F54" s="44"/>
      <c r="G54" s="45"/>
      <c r="H54" s="45"/>
      <c r="I54" s="45"/>
      <c r="J54" s="45"/>
      <c r="K54" s="45"/>
      <c r="L54" s="45"/>
    </row>
    <row r="55" spans="1:18" s="28" customFormat="1" ht="13" x14ac:dyDescent="0.25">
      <c r="E55" s="44"/>
      <c r="F55" s="44"/>
      <c r="G55" s="45"/>
      <c r="H55" s="45"/>
      <c r="I55" s="45"/>
      <c r="J55" s="45"/>
      <c r="K55" s="45"/>
      <c r="L55" s="45"/>
    </row>
    <row r="56" spans="1:18" ht="13" x14ac:dyDescent="0.25">
      <c r="A56" s="28" t="s">
        <v>39</v>
      </c>
      <c r="C56" s="28" t="s">
        <v>81</v>
      </c>
      <c r="O56" s="28"/>
      <c r="P56" s="28"/>
      <c r="Q56" s="28"/>
      <c r="R56" s="28"/>
    </row>
    <row r="57" spans="1:18" ht="13" x14ac:dyDescent="0.25">
      <c r="A57" s="28" t="s">
        <v>46</v>
      </c>
      <c r="C57" s="149">
        <f>Insumos!D29</f>
        <v>10</v>
      </c>
    </row>
    <row r="58" spans="1:18" ht="13" x14ac:dyDescent="0.25">
      <c r="A58" s="28" t="s">
        <v>47</v>
      </c>
      <c r="B58" s="29"/>
      <c r="C58" s="150">
        <f>Insumos!D33</f>
        <v>0.15</v>
      </c>
      <c r="D58" s="29"/>
      <c r="E58" s="29"/>
    </row>
    <row r="59" spans="1:18" ht="13" x14ac:dyDescent="0.25">
      <c r="A59" s="28" t="s">
        <v>48</v>
      </c>
      <c r="B59" s="29"/>
      <c r="C59" s="150">
        <f>C7</f>
        <v>0.12</v>
      </c>
      <c r="D59" s="29"/>
      <c r="E59" s="29"/>
    </row>
    <row r="60" spans="1:18" ht="13" x14ac:dyDescent="0.25">
      <c r="A60" s="28" t="s">
        <v>49</v>
      </c>
      <c r="B60" s="30"/>
      <c r="C60" s="31">
        <f>Insumos!D23</f>
        <v>364740.14</v>
      </c>
    </row>
    <row r="61" spans="1:18" ht="13" x14ac:dyDescent="0.25">
      <c r="A61" s="28" t="s">
        <v>50</v>
      </c>
      <c r="B61" s="30"/>
      <c r="C61" s="31">
        <f>C60-Rodagem!C5*Rodagem!E5</f>
        <v>355656.08</v>
      </c>
    </row>
    <row r="64" spans="1:18" s="28" customFormat="1" ht="13" x14ac:dyDescent="0.25">
      <c r="A64" s="211" t="s">
        <v>51</v>
      </c>
      <c r="C64" s="210" t="s">
        <v>52</v>
      </c>
      <c r="D64" s="210"/>
      <c r="E64" s="210"/>
      <c r="F64" s="212" t="s">
        <v>24</v>
      </c>
      <c r="G64" s="209" t="s">
        <v>16</v>
      </c>
      <c r="H64" s="209"/>
      <c r="I64" s="209" t="s">
        <v>15</v>
      </c>
      <c r="J64" s="209"/>
      <c r="K64" s="209" t="s">
        <v>28</v>
      </c>
      <c r="L64" s="209"/>
      <c r="O64" s="24"/>
      <c r="P64" s="24"/>
      <c r="Q64" s="24"/>
      <c r="R64" s="24"/>
    </row>
    <row r="65" spans="1:18" s="28" customFormat="1" ht="13" x14ac:dyDescent="0.25">
      <c r="A65" s="211"/>
      <c r="C65" s="43" t="s">
        <v>16</v>
      </c>
      <c r="D65" s="210" t="s">
        <v>15</v>
      </c>
      <c r="E65" s="210"/>
      <c r="F65" s="212"/>
      <c r="G65" s="42" t="s">
        <v>53</v>
      </c>
      <c r="H65" s="42" t="s">
        <v>54</v>
      </c>
      <c r="I65" s="42" t="s">
        <v>53</v>
      </c>
      <c r="J65" s="42" t="s">
        <v>54</v>
      </c>
      <c r="K65" s="42" t="s">
        <v>53</v>
      </c>
      <c r="L65" s="42" t="s">
        <v>54</v>
      </c>
    </row>
    <row r="66" spans="1:18" ht="13" x14ac:dyDescent="0.25">
      <c r="A66" s="24" t="s">
        <v>55</v>
      </c>
      <c r="B66" s="24">
        <f>C57</f>
        <v>10</v>
      </c>
      <c r="C66" s="35">
        <f>ROUND(((1-$C$58)*(B66/$B$77)),5)</f>
        <v>0.15454999999999999</v>
      </c>
      <c r="D66" s="35">
        <v>1</v>
      </c>
      <c r="E66" s="35">
        <f>D66*$C$59</f>
        <v>0.12</v>
      </c>
      <c r="F66" s="36">
        <f>'Idade Frota'!E4</f>
        <v>0</v>
      </c>
      <c r="G66" s="37">
        <f>F66*$C$61*C66</f>
        <v>0</v>
      </c>
      <c r="H66" s="37">
        <f t="shared" ref="H66:H70" si="21">G66/12</f>
        <v>0</v>
      </c>
      <c r="I66" s="37">
        <f>$C$60*E66*F66</f>
        <v>0</v>
      </c>
      <c r="J66" s="37">
        <f t="shared" ref="J66:J70" si="22">I66/12</f>
        <v>0</v>
      </c>
      <c r="K66" s="37">
        <f t="shared" ref="K66:K76" si="23">G66+I66</f>
        <v>0</v>
      </c>
      <c r="L66" s="37">
        <f t="shared" ref="L66:L76" si="24">H66+J66</f>
        <v>0</v>
      </c>
      <c r="O66" s="28"/>
      <c r="P66" s="28"/>
      <c r="Q66" s="28"/>
      <c r="R66" s="28"/>
    </row>
    <row r="67" spans="1:18" x14ac:dyDescent="0.25">
      <c r="A67" s="24" t="s">
        <v>56</v>
      </c>
      <c r="B67" s="24">
        <f>IF((B66-1)&gt;=0,(B66-1),0)</f>
        <v>9</v>
      </c>
      <c r="C67" s="35">
        <f t="shared" ref="C67:C76" si="25">ROUND(((1-$C$58)*(B67/$B$77)),5)</f>
        <v>0.13908999999999999</v>
      </c>
      <c r="D67" s="35">
        <f>D66-C66</f>
        <v>0.84545000000000003</v>
      </c>
      <c r="E67" s="35">
        <f t="shared" ref="E67:E76" si="26">D67*$C$59</f>
        <v>0.101454</v>
      </c>
      <c r="F67" s="36">
        <f>'Idade Frota'!E5</f>
        <v>0</v>
      </c>
      <c r="G67" s="37">
        <f t="shared" ref="G67:G76" si="27">F67*$C$61*C67</f>
        <v>0</v>
      </c>
      <c r="H67" s="37">
        <f t="shared" si="21"/>
        <v>0</v>
      </c>
      <c r="I67" s="37">
        <f t="shared" ref="I67:I76" si="28">$C$60*E67*F67</f>
        <v>0</v>
      </c>
      <c r="J67" s="37">
        <f t="shared" si="22"/>
        <v>0</v>
      </c>
      <c r="K67" s="37">
        <f t="shared" si="23"/>
        <v>0</v>
      </c>
      <c r="L67" s="37">
        <f t="shared" si="24"/>
        <v>0</v>
      </c>
    </row>
    <row r="68" spans="1:18" x14ac:dyDescent="0.25">
      <c r="A68" s="24" t="s">
        <v>57</v>
      </c>
      <c r="B68" s="24">
        <f>IF((B67-1)&gt;=0,(B67-1),0)</f>
        <v>8</v>
      </c>
      <c r="C68" s="35">
        <f t="shared" si="25"/>
        <v>0.12364</v>
      </c>
      <c r="D68" s="35">
        <f t="shared" ref="D68:D76" si="29">D67-C67</f>
        <v>0.7063600000000001</v>
      </c>
      <c r="E68" s="35">
        <f t="shared" si="26"/>
        <v>8.4763200000000011E-2</v>
      </c>
      <c r="F68" s="36">
        <f>'Idade Frota'!E6</f>
        <v>0</v>
      </c>
      <c r="G68" s="37">
        <f t="shared" si="27"/>
        <v>0</v>
      </c>
      <c r="H68" s="37">
        <f t="shared" si="21"/>
        <v>0</v>
      </c>
      <c r="I68" s="37">
        <f t="shared" si="28"/>
        <v>0</v>
      </c>
      <c r="J68" s="37">
        <f t="shared" si="22"/>
        <v>0</v>
      </c>
      <c r="K68" s="37">
        <f t="shared" si="23"/>
        <v>0</v>
      </c>
      <c r="L68" s="37">
        <f t="shared" si="24"/>
        <v>0</v>
      </c>
    </row>
    <row r="69" spans="1:18" x14ac:dyDescent="0.25">
      <c r="A69" s="24" t="s">
        <v>58</v>
      </c>
      <c r="B69" s="24">
        <f>IF((B68-1)&gt;=0,(B68-1),0)</f>
        <v>7</v>
      </c>
      <c r="C69" s="35">
        <f t="shared" si="25"/>
        <v>0.10818</v>
      </c>
      <c r="D69" s="35">
        <f t="shared" si="29"/>
        <v>0.58272000000000013</v>
      </c>
      <c r="E69" s="35">
        <f t="shared" si="26"/>
        <v>6.9926400000000014E-2</v>
      </c>
      <c r="F69" s="36">
        <f>'Idade Frota'!E7</f>
        <v>0</v>
      </c>
      <c r="G69" s="37">
        <f t="shared" si="27"/>
        <v>0</v>
      </c>
      <c r="H69" s="37">
        <f t="shared" si="21"/>
        <v>0</v>
      </c>
      <c r="I69" s="37">
        <f t="shared" si="28"/>
        <v>0</v>
      </c>
      <c r="J69" s="37">
        <f t="shared" si="22"/>
        <v>0</v>
      </c>
      <c r="K69" s="37">
        <f t="shared" si="23"/>
        <v>0</v>
      </c>
      <c r="L69" s="37">
        <f t="shared" si="24"/>
        <v>0</v>
      </c>
    </row>
    <row r="70" spans="1:18" x14ac:dyDescent="0.25">
      <c r="A70" s="24" t="s">
        <v>59</v>
      </c>
      <c r="B70" s="24">
        <f>IF((B69-1)&gt;=0,(B69-1),0)</f>
        <v>6</v>
      </c>
      <c r="C70" s="35">
        <f t="shared" si="25"/>
        <v>9.2730000000000007E-2</v>
      </c>
      <c r="D70" s="35">
        <f t="shared" si="29"/>
        <v>0.47454000000000013</v>
      </c>
      <c r="E70" s="35">
        <f t="shared" si="26"/>
        <v>5.6944800000000011E-2</v>
      </c>
      <c r="F70" s="36">
        <f>'Idade Frota'!E8</f>
        <v>2</v>
      </c>
      <c r="G70" s="37">
        <f t="shared" si="27"/>
        <v>65959.976596800014</v>
      </c>
      <c r="H70" s="37">
        <f t="shared" si="21"/>
        <v>5496.6647164000015</v>
      </c>
      <c r="I70" s="37">
        <f t="shared" si="28"/>
        <v>41540.10864854401</v>
      </c>
      <c r="J70" s="37">
        <f t="shared" si="22"/>
        <v>3461.6757207120008</v>
      </c>
      <c r="K70" s="37">
        <f t="shared" si="23"/>
        <v>107500.08524534403</v>
      </c>
      <c r="L70" s="37">
        <f t="shared" si="24"/>
        <v>8958.3404371120014</v>
      </c>
    </row>
    <row r="71" spans="1:18" x14ac:dyDescent="0.25">
      <c r="A71" s="38" t="s">
        <v>60</v>
      </c>
      <c r="B71" s="24">
        <f t="shared" ref="B71:B76" si="30">IF((B70-1)&gt;=0,(B70-1),0)</f>
        <v>5</v>
      </c>
      <c r="C71" s="35">
        <f t="shared" si="25"/>
        <v>7.7270000000000005E-2</v>
      </c>
      <c r="D71" s="35">
        <f t="shared" si="29"/>
        <v>0.38181000000000009</v>
      </c>
      <c r="E71" s="35">
        <f t="shared" si="26"/>
        <v>4.5817200000000009E-2</v>
      </c>
      <c r="F71" s="36">
        <f>'Idade Frota'!E9</f>
        <v>3</v>
      </c>
      <c r="G71" s="37">
        <f t="shared" si="27"/>
        <v>82444.635904800001</v>
      </c>
      <c r="H71" s="37">
        <f>G71/12</f>
        <v>6870.3863253999998</v>
      </c>
      <c r="I71" s="37">
        <f t="shared" si="28"/>
        <v>50134.115827224014</v>
      </c>
      <c r="J71" s="37">
        <f>I71/12</f>
        <v>4177.8429856020011</v>
      </c>
      <c r="K71" s="37">
        <f t="shared" si="23"/>
        <v>132578.75173202401</v>
      </c>
      <c r="L71" s="37">
        <f t="shared" si="24"/>
        <v>11048.229311002</v>
      </c>
    </row>
    <row r="72" spans="1:18" x14ac:dyDescent="0.25">
      <c r="A72" s="38" t="s">
        <v>61</v>
      </c>
      <c r="B72" s="24">
        <f t="shared" si="30"/>
        <v>4</v>
      </c>
      <c r="C72" s="35">
        <f t="shared" si="25"/>
        <v>6.182E-2</v>
      </c>
      <c r="D72" s="35">
        <f t="shared" si="29"/>
        <v>0.30454000000000009</v>
      </c>
      <c r="E72" s="35">
        <f t="shared" si="26"/>
        <v>3.6544800000000009E-2</v>
      </c>
      <c r="F72" s="36">
        <f>'Idade Frota'!E10</f>
        <v>20</v>
      </c>
      <c r="G72" s="37">
        <f t="shared" si="27"/>
        <v>439733.17731200001</v>
      </c>
      <c r="H72" s="37">
        <f>G72/12</f>
        <v>36644.431442666668</v>
      </c>
      <c r="I72" s="37">
        <f t="shared" si="28"/>
        <v>266587.10936544009</v>
      </c>
      <c r="J72" s="37">
        <f>I72/12</f>
        <v>22215.592447120009</v>
      </c>
      <c r="K72" s="37">
        <f t="shared" si="23"/>
        <v>706320.28667744016</v>
      </c>
      <c r="L72" s="37">
        <f t="shared" si="24"/>
        <v>58860.02388978668</v>
      </c>
    </row>
    <row r="73" spans="1:18" x14ac:dyDescent="0.25">
      <c r="A73" s="38" t="s">
        <v>62</v>
      </c>
      <c r="B73" s="24">
        <f t="shared" si="30"/>
        <v>3</v>
      </c>
      <c r="C73" s="35">
        <f t="shared" si="25"/>
        <v>4.6359999999999998E-2</v>
      </c>
      <c r="D73" s="35">
        <f t="shared" si="29"/>
        <v>0.2427200000000001</v>
      </c>
      <c r="E73" s="35">
        <f t="shared" si="26"/>
        <v>2.9126400000000011E-2</v>
      </c>
      <c r="F73" s="36">
        <f>'Idade Frota'!E11</f>
        <v>28</v>
      </c>
      <c r="G73" s="37">
        <f t="shared" si="27"/>
        <v>461670.04432639998</v>
      </c>
      <c r="H73" s="37">
        <f>G73/12</f>
        <v>38472.503693866667</v>
      </c>
      <c r="I73" s="37">
        <f t="shared" si="28"/>
        <v>297459.8819834881</v>
      </c>
      <c r="J73" s="37">
        <f>I73/12</f>
        <v>24788.32349862401</v>
      </c>
      <c r="K73" s="37">
        <f t="shared" si="23"/>
        <v>759129.92630988802</v>
      </c>
      <c r="L73" s="37">
        <f t="shared" si="24"/>
        <v>63260.827192490673</v>
      </c>
    </row>
    <row r="74" spans="1:18" x14ac:dyDescent="0.25">
      <c r="A74" s="38" t="s">
        <v>63</v>
      </c>
      <c r="B74" s="24">
        <f t="shared" si="30"/>
        <v>2</v>
      </c>
      <c r="C74" s="35">
        <f t="shared" si="25"/>
        <v>3.091E-2</v>
      </c>
      <c r="D74" s="35">
        <f t="shared" si="29"/>
        <v>0.19636000000000009</v>
      </c>
      <c r="E74" s="35">
        <f t="shared" si="26"/>
        <v>2.356320000000001E-2</v>
      </c>
      <c r="F74" s="36">
        <f>'Idade Frota'!E12</f>
        <v>36</v>
      </c>
      <c r="G74" s="37">
        <f t="shared" si="27"/>
        <v>395759.85958080005</v>
      </c>
      <c r="H74" s="37">
        <f>G74/12</f>
        <v>32979.988298400007</v>
      </c>
      <c r="I74" s="37">
        <f t="shared" si="28"/>
        <v>309400.01520652813</v>
      </c>
      <c r="J74" s="37">
        <f>I74/12</f>
        <v>25783.334600544011</v>
      </c>
      <c r="K74" s="37">
        <f t="shared" si="23"/>
        <v>705159.87478732818</v>
      </c>
      <c r="L74" s="37">
        <f t="shared" si="24"/>
        <v>58763.322898944018</v>
      </c>
    </row>
    <row r="75" spans="1:18" x14ac:dyDescent="0.25">
      <c r="A75" s="38" t="s">
        <v>64</v>
      </c>
      <c r="B75" s="24">
        <f t="shared" si="30"/>
        <v>1</v>
      </c>
      <c r="C75" s="35">
        <f t="shared" si="25"/>
        <v>1.545E-2</v>
      </c>
      <c r="D75" s="35">
        <f t="shared" si="29"/>
        <v>0.1654500000000001</v>
      </c>
      <c r="E75" s="35">
        <f t="shared" si="26"/>
        <v>1.9854000000000011E-2</v>
      </c>
      <c r="F75" s="36">
        <f>'Idade Frota'!E13</f>
        <v>2</v>
      </c>
      <c r="G75" s="37">
        <f t="shared" si="27"/>
        <v>10989.772872000001</v>
      </c>
      <c r="H75" s="37">
        <f>G75/12</f>
        <v>915.81440600000008</v>
      </c>
      <c r="I75" s="37">
        <f t="shared" si="28"/>
        <v>14483.101479120009</v>
      </c>
      <c r="J75" s="37">
        <f>I75/12</f>
        <v>1206.9251232600006</v>
      </c>
      <c r="K75" s="37">
        <f t="shared" si="23"/>
        <v>25472.874351120008</v>
      </c>
      <c r="L75" s="37">
        <f t="shared" si="24"/>
        <v>2122.7395292600008</v>
      </c>
    </row>
    <row r="76" spans="1:18" x14ac:dyDescent="0.25">
      <c r="A76" s="38" t="s">
        <v>65</v>
      </c>
      <c r="B76" s="24">
        <f t="shared" si="30"/>
        <v>0</v>
      </c>
      <c r="C76" s="35">
        <f t="shared" si="25"/>
        <v>0</v>
      </c>
      <c r="D76" s="35">
        <f t="shared" si="29"/>
        <v>0.15000000000000011</v>
      </c>
      <c r="E76" s="35">
        <f t="shared" si="26"/>
        <v>1.8000000000000013E-2</v>
      </c>
      <c r="F76" s="36">
        <f>'Idade Frota'!E14</f>
        <v>8</v>
      </c>
      <c r="G76" s="37">
        <f t="shared" si="27"/>
        <v>0</v>
      </c>
      <c r="H76" s="37">
        <f t="shared" ref="H76" si="31">G76/12</f>
        <v>0</v>
      </c>
      <c r="I76" s="37">
        <f t="shared" si="28"/>
        <v>52522.580160000041</v>
      </c>
      <c r="J76" s="37">
        <f t="shared" ref="J76" si="32">I76/12</f>
        <v>4376.8816800000031</v>
      </c>
      <c r="K76" s="37">
        <f t="shared" si="23"/>
        <v>52522.580160000041</v>
      </c>
      <c r="L76" s="37">
        <f t="shared" si="24"/>
        <v>4376.8816800000031</v>
      </c>
    </row>
    <row r="77" spans="1:18" s="28" customFormat="1" ht="13" x14ac:dyDescent="0.25">
      <c r="B77" s="28">
        <f>SUM(B66:B76)</f>
        <v>55</v>
      </c>
      <c r="E77" s="42" t="s">
        <v>28</v>
      </c>
      <c r="F77" s="42">
        <f>SUM(F66:F76)</f>
        <v>99</v>
      </c>
      <c r="G77" s="39">
        <f>SUM(G66:G76)</f>
        <v>1456557.4665927999</v>
      </c>
      <c r="H77" s="39">
        <f t="shared" ref="H77:L77" si="33">SUM(H66:H76)</f>
        <v>121379.78888273337</v>
      </c>
      <c r="I77" s="39">
        <f t="shared" si="33"/>
        <v>1032126.9126703443</v>
      </c>
      <c r="J77" s="39">
        <f t="shared" si="33"/>
        <v>86010.576055862039</v>
      </c>
      <c r="K77" s="39">
        <f t="shared" si="33"/>
        <v>2488684.3792631445</v>
      </c>
      <c r="L77" s="39">
        <f t="shared" si="33"/>
        <v>207390.36493859536</v>
      </c>
      <c r="O77" s="24"/>
      <c r="P77" s="24"/>
      <c r="Q77" s="24"/>
      <c r="R77" s="24"/>
    </row>
    <row r="78" spans="1:18" s="28" customFormat="1" ht="13" x14ac:dyDescent="0.25">
      <c r="E78" s="42" t="s">
        <v>26</v>
      </c>
      <c r="F78" s="42"/>
      <c r="G78" s="39">
        <f t="shared" ref="G78:L78" si="34">IF($F$77=0,0,G77/$F$77)</f>
        <v>14712.701682755554</v>
      </c>
      <c r="H78" s="39">
        <f t="shared" si="34"/>
        <v>1226.0584735629634</v>
      </c>
      <c r="I78" s="39">
        <f t="shared" si="34"/>
        <v>10425.524370407518</v>
      </c>
      <c r="J78" s="39">
        <f t="shared" si="34"/>
        <v>868.79369753395997</v>
      </c>
      <c r="K78" s="39">
        <f t="shared" si="34"/>
        <v>25138.226053163075</v>
      </c>
      <c r="L78" s="39">
        <f t="shared" si="34"/>
        <v>2094.852171096923</v>
      </c>
    </row>
    <row r="79" spans="1:18" s="28" customFormat="1" ht="13" x14ac:dyDescent="0.25">
      <c r="E79" s="44"/>
      <c r="F79" s="44"/>
      <c r="G79" s="45"/>
      <c r="H79" s="45"/>
      <c r="I79" s="45"/>
      <c r="J79" s="45"/>
      <c r="K79" s="45"/>
      <c r="L79" s="45"/>
    </row>
    <row r="80" spans="1:18" s="28" customFormat="1" ht="13" x14ac:dyDescent="0.25">
      <c r="E80" s="44"/>
      <c r="F80" s="44"/>
      <c r="G80" s="45"/>
      <c r="H80" s="45"/>
      <c r="I80" s="45"/>
      <c r="J80" s="45"/>
      <c r="K80" s="45"/>
      <c r="L80" s="45"/>
    </row>
    <row r="81" spans="1:18" s="28" customFormat="1" ht="13" x14ac:dyDescent="0.25">
      <c r="E81" s="44"/>
      <c r="F81" s="44"/>
      <c r="G81" s="45"/>
      <c r="H81" s="45"/>
      <c r="I81" s="45"/>
      <c r="J81" s="45"/>
      <c r="K81" s="45"/>
      <c r="L81" s="45"/>
    </row>
    <row r="82" spans="1:18" ht="13" x14ac:dyDescent="0.25">
      <c r="A82" s="28" t="s">
        <v>39</v>
      </c>
      <c r="C82" s="28" t="s">
        <v>82</v>
      </c>
      <c r="O82" s="28"/>
      <c r="P82" s="28"/>
      <c r="Q82" s="28"/>
      <c r="R82" s="28"/>
    </row>
    <row r="83" spans="1:18" ht="13" x14ac:dyDescent="0.25">
      <c r="A83" s="28" t="s">
        <v>46</v>
      </c>
      <c r="C83" s="149">
        <f>Insumos!D30</f>
        <v>10</v>
      </c>
    </row>
    <row r="84" spans="1:18" ht="13" x14ac:dyDescent="0.25">
      <c r="A84" s="28" t="s">
        <v>47</v>
      </c>
      <c r="B84" s="29"/>
      <c r="C84" s="150">
        <f>Insumos!D34</f>
        <v>0.15</v>
      </c>
      <c r="D84" s="29"/>
      <c r="E84" s="29"/>
    </row>
    <row r="85" spans="1:18" ht="13" x14ac:dyDescent="0.25">
      <c r="A85" s="28" t="s">
        <v>48</v>
      </c>
      <c r="B85" s="29"/>
      <c r="C85" s="150">
        <f>C7</f>
        <v>0.12</v>
      </c>
      <c r="D85" s="29"/>
      <c r="E85" s="29"/>
    </row>
    <row r="86" spans="1:18" ht="13" x14ac:dyDescent="0.25">
      <c r="A86" s="28" t="s">
        <v>49</v>
      </c>
      <c r="B86" s="30"/>
      <c r="C86" s="31">
        <f>Insumos!D24</f>
        <v>411990.14</v>
      </c>
    </row>
    <row r="87" spans="1:18" ht="13" x14ac:dyDescent="0.25">
      <c r="A87" s="28" t="s">
        <v>50</v>
      </c>
      <c r="B87" s="30"/>
      <c r="C87" s="31">
        <f>C86-Rodagem!C6*Rodagem!E6</f>
        <v>402906.08</v>
      </c>
    </row>
    <row r="90" spans="1:18" s="28" customFormat="1" ht="13" x14ac:dyDescent="0.25">
      <c r="A90" s="211" t="s">
        <v>51</v>
      </c>
      <c r="C90" s="210" t="s">
        <v>52</v>
      </c>
      <c r="D90" s="210"/>
      <c r="E90" s="210"/>
      <c r="F90" s="212" t="s">
        <v>24</v>
      </c>
      <c r="G90" s="209" t="s">
        <v>16</v>
      </c>
      <c r="H90" s="209"/>
      <c r="I90" s="209" t="s">
        <v>15</v>
      </c>
      <c r="J90" s="209"/>
      <c r="K90" s="209" t="s">
        <v>28</v>
      </c>
      <c r="L90" s="209"/>
      <c r="O90" s="24"/>
      <c r="P90" s="24"/>
      <c r="Q90" s="24"/>
      <c r="R90" s="24"/>
    </row>
    <row r="91" spans="1:18" s="28" customFormat="1" ht="13" x14ac:dyDescent="0.25">
      <c r="A91" s="211"/>
      <c r="C91" s="33" t="s">
        <v>16</v>
      </c>
      <c r="D91" s="210" t="s">
        <v>15</v>
      </c>
      <c r="E91" s="210"/>
      <c r="F91" s="212"/>
      <c r="G91" s="34" t="s">
        <v>53</v>
      </c>
      <c r="H91" s="34" t="s">
        <v>54</v>
      </c>
      <c r="I91" s="34" t="s">
        <v>53</v>
      </c>
      <c r="J91" s="34" t="s">
        <v>54</v>
      </c>
      <c r="K91" s="34" t="s">
        <v>53</v>
      </c>
      <c r="L91" s="34" t="s">
        <v>54</v>
      </c>
    </row>
    <row r="92" spans="1:18" ht="13" x14ac:dyDescent="0.25">
      <c r="A92" s="24" t="s">
        <v>55</v>
      </c>
      <c r="B92" s="24">
        <f>C83</f>
        <v>10</v>
      </c>
      <c r="C92" s="35">
        <f>ROUND(((1-$C$84)*(B92/$B$103)),5)</f>
        <v>0.15454999999999999</v>
      </c>
      <c r="D92" s="35">
        <v>1</v>
      </c>
      <c r="E92" s="35">
        <f>D92*$C$85</f>
        <v>0.12</v>
      </c>
      <c r="F92" s="36">
        <f>'Idade Frota'!F4</f>
        <v>20</v>
      </c>
      <c r="G92" s="37">
        <f>F92*$C$87*C92</f>
        <v>1245382.69328</v>
      </c>
      <c r="H92" s="37">
        <f t="shared" ref="H92:H96" si="35">G92/12</f>
        <v>103781.89110666666</v>
      </c>
      <c r="I92" s="37">
        <f>$C$86*E92*F92</f>
        <v>988776.33600000001</v>
      </c>
      <c r="J92" s="37">
        <f t="shared" ref="J92:J96" si="36">I92/12</f>
        <v>82398.028000000006</v>
      </c>
      <c r="K92" s="37">
        <f t="shared" ref="K92:L102" si="37">G92+I92</f>
        <v>2234159.0292799999</v>
      </c>
      <c r="L92" s="37">
        <f t="shared" si="37"/>
        <v>186179.91910666667</v>
      </c>
      <c r="O92" s="28"/>
      <c r="P92" s="28"/>
      <c r="Q92" s="28"/>
      <c r="R92" s="28"/>
    </row>
    <row r="93" spans="1:18" x14ac:dyDescent="0.25">
      <c r="A93" s="24" t="s">
        <v>56</v>
      </c>
      <c r="B93" s="24">
        <f>IF((B92-1)&gt;=0,(B92-1),0)</f>
        <v>9</v>
      </c>
      <c r="C93" s="35">
        <f t="shared" ref="C93:C102" si="38">ROUND(((1-$C$84)*(B93/$B$103)),5)</f>
        <v>0.13908999999999999</v>
      </c>
      <c r="D93" s="35">
        <f>D92-C92</f>
        <v>0.84545000000000003</v>
      </c>
      <c r="E93" s="35">
        <f t="shared" ref="E93:E102" si="39">D93*$C$85</f>
        <v>0.101454</v>
      </c>
      <c r="F93" s="36">
        <f>'Idade Frota'!F5</f>
        <v>0</v>
      </c>
      <c r="G93" s="37">
        <f t="shared" ref="G93:G102" si="40">F93*$C$87*C93</f>
        <v>0</v>
      </c>
      <c r="H93" s="37">
        <f t="shared" si="35"/>
        <v>0</v>
      </c>
      <c r="I93" s="37">
        <f t="shared" ref="I93:I102" si="41">$C$86*E93*F93</f>
        <v>0</v>
      </c>
      <c r="J93" s="37">
        <f t="shared" si="36"/>
        <v>0</v>
      </c>
      <c r="K93" s="37">
        <f t="shared" si="37"/>
        <v>0</v>
      </c>
      <c r="L93" s="37">
        <f t="shared" si="37"/>
        <v>0</v>
      </c>
    </row>
    <row r="94" spans="1:18" x14ac:dyDescent="0.25">
      <c r="A94" s="24" t="s">
        <v>57</v>
      </c>
      <c r="B94" s="24">
        <f>IF((B93-1)&gt;=0,(B93-1),0)</f>
        <v>8</v>
      </c>
      <c r="C94" s="35">
        <f t="shared" si="38"/>
        <v>0.12364</v>
      </c>
      <c r="D94" s="35">
        <f t="shared" ref="D94:D102" si="42">D93-C93</f>
        <v>0.7063600000000001</v>
      </c>
      <c r="E94" s="35">
        <f t="shared" si="39"/>
        <v>8.4763200000000011E-2</v>
      </c>
      <c r="F94" s="36">
        <f>'Idade Frota'!F6</f>
        <v>31</v>
      </c>
      <c r="G94" s="37">
        <f t="shared" si="40"/>
        <v>1544274.5396672001</v>
      </c>
      <c r="H94" s="37">
        <f t="shared" si="35"/>
        <v>128689.54497226667</v>
      </c>
      <c r="I94" s="37">
        <f t="shared" si="41"/>
        <v>1082569.6816802882</v>
      </c>
      <c r="J94" s="37">
        <f t="shared" si="36"/>
        <v>90214.140140024014</v>
      </c>
      <c r="K94" s="37">
        <f t="shared" si="37"/>
        <v>2626844.2213474885</v>
      </c>
      <c r="L94" s="37">
        <f t="shared" si="37"/>
        <v>218903.68511229067</v>
      </c>
    </row>
    <row r="95" spans="1:18" x14ac:dyDescent="0.25">
      <c r="A95" s="24" t="s">
        <v>58</v>
      </c>
      <c r="B95" s="24">
        <f>IF((B94-1)&gt;=0,(B94-1),0)</f>
        <v>7</v>
      </c>
      <c r="C95" s="35">
        <f t="shared" si="38"/>
        <v>0.10818</v>
      </c>
      <c r="D95" s="35">
        <f t="shared" si="42"/>
        <v>0.58272000000000013</v>
      </c>
      <c r="E95" s="35">
        <f t="shared" si="39"/>
        <v>6.9926400000000014E-2</v>
      </c>
      <c r="F95" s="36">
        <f>'Idade Frota'!F7</f>
        <v>40</v>
      </c>
      <c r="G95" s="37">
        <f t="shared" si="40"/>
        <v>1743455.1893760001</v>
      </c>
      <c r="H95" s="37">
        <f t="shared" si="35"/>
        <v>145287.93244800001</v>
      </c>
      <c r="I95" s="37">
        <f t="shared" si="41"/>
        <v>1152359.4930278403</v>
      </c>
      <c r="J95" s="37">
        <f t="shared" si="36"/>
        <v>96029.957752320028</v>
      </c>
      <c r="K95" s="37">
        <f t="shared" si="37"/>
        <v>2895814.6824038401</v>
      </c>
      <c r="L95" s="37">
        <f t="shared" si="37"/>
        <v>241317.89020032005</v>
      </c>
    </row>
    <row r="96" spans="1:18" x14ac:dyDescent="0.25">
      <c r="A96" s="24" t="s">
        <v>59</v>
      </c>
      <c r="B96" s="24">
        <f>IF((B95-1)&gt;=0,(B95-1),0)</f>
        <v>6</v>
      </c>
      <c r="C96" s="35">
        <f t="shared" si="38"/>
        <v>9.2730000000000007E-2</v>
      </c>
      <c r="D96" s="35">
        <f t="shared" si="42"/>
        <v>0.47454000000000013</v>
      </c>
      <c r="E96" s="35">
        <f t="shared" si="39"/>
        <v>5.6944800000000011E-2</v>
      </c>
      <c r="F96" s="36">
        <f>'Idade Frota'!F8</f>
        <v>0</v>
      </c>
      <c r="G96" s="37">
        <f t="shared" si="40"/>
        <v>0</v>
      </c>
      <c r="H96" s="37">
        <f t="shared" si="35"/>
        <v>0</v>
      </c>
      <c r="I96" s="37">
        <f t="shared" si="41"/>
        <v>0</v>
      </c>
      <c r="J96" s="37">
        <f t="shared" si="36"/>
        <v>0</v>
      </c>
      <c r="K96" s="37">
        <f t="shared" si="37"/>
        <v>0</v>
      </c>
      <c r="L96" s="37">
        <f t="shared" si="37"/>
        <v>0</v>
      </c>
    </row>
    <row r="97" spans="1:18" x14ac:dyDescent="0.25">
      <c r="A97" s="38" t="s">
        <v>60</v>
      </c>
      <c r="B97" s="24">
        <f t="shared" ref="B97:B102" si="43">IF((B96-1)&gt;=0,(B96-1),0)</f>
        <v>5</v>
      </c>
      <c r="C97" s="35">
        <f t="shared" si="38"/>
        <v>7.7270000000000005E-2</v>
      </c>
      <c r="D97" s="35">
        <f t="shared" si="42"/>
        <v>0.38181000000000009</v>
      </c>
      <c r="E97" s="35">
        <f t="shared" si="39"/>
        <v>4.5817200000000009E-2</v>
      </c>
      <c r="F97" s="36">
        <f>'Idade Frota'!F9</f>
        <v>0</v>
      </c>
      <c r="G97" s="37">
        <f t="shared" si="40"/>
        <v>0</v>
      </c>
      <c r="H97" s="37">
        <f>G97/12</f>
        <v>0</v>
      </c>
      <c r="I97" s="37">
        <f t="shared" si="41"/>
        <v>0</v>
      </c>
      <c r="J97" s="37">
        <f>I97/12</f>
        <v>0</v>
      </c>
      <c r="K97" s="37">
        <f t="shared" si="37"/>
        <v>0</v>
      </c>
      <c r="L97" s="37">
        <f t="shared" si="37"/>
        <v>0</v>
      </c>
    </row>
    <row r="98" spans="1:18" x14ac:dyDescent="0.25">
      <c r="A98" s="38" t="s">
        <v>61</v>
      </c>
      <c r="B98" s="24">
        <f t="shared" si="43"/>
        <v>4</v>
      </c>
      <c r="C98" s="35">
        <f t="shared" si="38"/>
        <v>6.182E-2</v>
      </c>
      <c r="D98" s="35">
        <f t="shared" si="42"/>
        <v>0.30454000000000009</v>
      </c>
      <c r="E98" s="35">
        <f t="shared" si="39"/>
        <v>3.6544800000000009E-2</v>
      </c>
      <c r="F98" s="36">
        <f>'Idade Frota'!F10</f>
        <v>0</v>
      </c>
      <c r="G98" s="37">
        <f t="shared" si="40"/>
        <v>0</v>
      </c>
      <c r="H98" s="37">
        <f>G98/12</f>
        <v>0</v>
      </c>
      <c r="I98" s="37">
        <f t="shared" si="41"/>
        <v>0</v>
      </c>
      <c r="J98" s="37">
        <f>I98/12</f>
        <v>0</v>
      </c>
      <c r="K98" s="37">
        <f t="shared" si="37"/>
        <v>0</v>
      </c>
      <c r="L98" s="37">
        <f t="shared" si="37"/>
        <v>0</v>
      </c>
    </row>
    <row r="99" spans="1:18" x14ac:dyDescent="0.25">
      <c r="A99" s="38" t="s">
        <v>62</v>
      </c>
      <c r="B99" s="24">
        <f t="shared" si="43"/>
        <v>3</v>
      </c>
      <c r="C99" s="35">
        <f t="shared" si="38"/>
        <v>4.6359999999999998E-2</v>
      </c>
      <c r="D99" s="35">
        <f t="shared" si="42"/>
        <v>0.2427200000000001</v>
      </c>
      <c r="E99" s="35">
        <f t="shared" si="39"/>
        <v>2.9126400000000011E-2</v>
      </c>
      <c r="F99" s="36">
        <f>'Idade Frota'!F11</f>
        <v>0</v>
      </c>
      <c r="G99" s="37">
        <f t="shared" si="40"/>
        <v>0</v>
      </c>
      <c r="H99" s="37">
        <f>G99/12</f>
        <v>0</v>
      </c>
      <c r="I99" s="37">
        <f t="shared" si="41"/>
        <v>0</v>
      </c>
      <c r="J99" s="37">
        <f>I99/12</f>
        <v>0</v>
      </c>
      <c r="K99" s="37">
        <f t="shared" si="37"/>
        <v>0</v>
      </c>
      <c r="L99" s="37">
        <f t="shared" si="37"/>
        <v>0</v>
      </c>
    </row>
    <row r="100" spans="1:18" x14ac:dyDescent="0.25">
      <c r="A100" s="38" t="s">
        <v>63</v>
      </c>
      <c r="B100" s="24">
        <f t="shared" si="43"/>
        <v>2</v>
      </c>
      <c r="C100" s="35">
        <f t="shared" si="38"/>
        <v>3.091E-2</v>
      </c>
      <c r="D100" s="35">
        <f t="shared" si="42"/>
        <v>0.19636000000000009</v>
      </c>
      <c r="E100" s="35">
        <f t="shared" si="39"/>
        <v>2.356320000000001E-2</v>
      </c>
      <c r="F100" s="36">
        <f>'Idade Frota'!F12</f>
        <v>0</v>
      </c>
      <c r="G100" s="37">
        <f t="shared" si="40"/>
        <v>0</v>
      </c>
      <c r="H100" s="37">
        <f>G100/12</f>
        <v>0</v>
      </c>
      <c r="I100" s="37">
        <f t="shared" si="41"/>
        <v>0</v>
      </c>
      <c r="J100" s="37">
        <f>I100/12</f>
        <v>0</v>
      </c>
      <c r="K100" s="37">
        <f t="shared" si="37"/>
        <v>0</v>
      </c>
      <c r="L100" s="37">
        <f t="shared" si="37"/>
        <v>0</v>
      </c>
    </row>
    <row r="101" spans="1:18" x14ac:dyDescent="0.25">
      <c r="A101" s="38" t="s">
        <v>64</v>
      </c>
      <c r="B101" s="24">
        <f t="shared" si="43"/>
        <v>1</v>
      </c>
      <c r="C101" s="35">
        <f t="shared" si="38"/>
        <v>1.545E-2</v>
      </c>
      <c r="D101" s="35">
        <f t="shared" si="42"/>
        <v>0.1654500000000001</v>
      </c>
      <c r="E101" s="35">
        <f t="shared" si="39"/>
        <v>1.9854000000000011E-2</v>
      </c>
      <c r="F101" s="36">
        <f>'Idade Frota'!F13</f>
        <v>0</v>
      </c>
      <c r="G101" s="37">
        <f t="shared" si="40"/>
        <v>0</v>
      </c>
      <c r="H101" s="37">
        <f>G101/12</f>
        <v>0</v>
      </c>
      <c r="I101" s="37">
        <f t="shared" si="41"/>
        <v>0</v>
      </c>
      <c r="J101" s="37">
        <f>I101/12</f>
        <v>0</v>
      </c>
      <c r="K101" s="37">
        <f t="shared" si="37"/>
        <v>0</v>
      </c>
      <c r="L101" s="37">
        <f t="shared" si="37"/>
        <v>0</v>
      </c>
    </row>
    <row r="102" spans="1:18" x14ac:dyDescent="0.25">
      <c r="A102" s="38" t="s">
        <v>65</v>
      </c>
      <c r="B102" s="24">
        <f t="shared" si="43"/>
        <v>0</v>
      </c>
      <c r="C102" s="35">
        <f t="shared" si="38"/>
        <v>0</v>
      </c>
      <c r="D102" s="35">
        <f t="shared" si="42"/>
        <v>0.15000000000000011</v>
      </c>
      <c r="E102" s="35">
        <f t="shared" si="39"/>
        <v>1.8000000000000013E-2</v>
      </c>
      <c r="F102" s="36">
        <f>'Idade Frota'!F14</f>
        <v>0</v>
      </c>
      <c r="G102" s="37">
        <f t="shared" si="40"/>
        <v>0</v>
      </c>
      <c r="H102" s="37">
        <f t="shared" ref="H102" si="44">G102/12</f>
        <v>0</v>
      </c>
      <c r="I102" s="37">
        <f t="shared" si="41"/>
        <v>0</v>
      </c>
      <c r="J102" s="37">
        <f t="shared" ref="J102" si="45">I102/12</f>
        <v>0</v>
      </c>
      <c r="K102" s="37">
        <f t="shared" si="37"/>
        <v>0</v>
      </c>
      <c r="L102" s="37">
        <f t="shared" si="37"/>
        <v>0</v>
      </c>
    </row>
    <row r="103" spans="1:18" s="28" customFormat="1" ht="13" x14ac:dyDescent="0.25">
      <c r="B103" s="28">
        <f>SUM(B92:B102)</f>
        <v>55</v>
      </c>
      <c r="E103" s="34" t="s">
        <v>28</v>
      </c>
      <c r="F103" s="34">
        <f>SUM(F92:F102)</f>
        <v>91</v>
      </c>
      <c r="G103" s="39">
        <f>SUM(G92:G102)</f>
        <v>4533112.4223231999</v>
      </c>
      <c r="H103" s="39">
        <f t="shared" ref="H103:L103" si="46">SUM(H92:H102)</f>
        <v>377759.36852693337</v>
      </c>
      <c r="I103" s="39">
        <f t="shared" si="46"/>
        <v>3223705.5107081286</v>
      </c>
      <c r="J103" s="39">
        <f t="shared" si="46"/>
        <v>268642.12589234405</v>
      </c>
      <c r="K103" s="185">
        <f t="shared" si="46"/>
        <v>7756817.933031328</v>
      </c>
      <c r="L103" s="39">
        <f t="shared" si="46"/>
        <v>646401.49441927741</v>
      </c>
      <c r="O103" s="24"/>
      <c r="P103" s="24"/>
      <c r="Q103" s="24"/>
      <c r="R103" s="24"/>
    </row>
    <row r="104" spans="1:18" s="28" customFormat="1" ht="13" x14ac:dyDescent="0.25">
      <c r="E104" s="34" t="s">
        <v>26</v>
      </c>
      <c r="F104" s="34"/>
      <c r="G104" s="39">
        <f t="shared" ref="G104:L104" si="47">IF($F$103=0,0,G103/$F$103)</f>
        <v>49814.422223331865</v>
      </c>
      <c r="H104" s="39">
        <f t="shared" si="47"/>
        <v>4151.2018519443227</v>
      </c>
      <c r="I104" s="39">
        <f t="shared" si="47"/>
        <v>35425.335282506909</v>
      </c>
      <c r="J104" s="39">
        <f t="shared" si="47"/>
        <v>2952.1112735422421</v>
      </c>
      <c r="K104" s="39">
        <f t="shared" si="47"/>
        <v>85239.757505838774</v>
      </c>
      <c r="L104" s="39">
        <f t="shared" si="47"/>
        <v>7103.3131254865648</v>
      </c>
    </row>
    <row r="105" spans="1:18" ht="13" x14ac:dyDescent="0.25">
      <c r="O105" s="28"/>
      <c r="P105" s="28"/>
      <c r="Q105" s="28"/>
      <c r="R105" s="28"/>
    </row>
  </sheetData>
  <mergeCells count="31">
    <mergeCell ref="F64:F65"/>
    <mergeCell ref="G64:H64"/>
    <mergeCell ref="I64:J64"/>
    <mergeCell ref="K64:L64"/>
    <mergeCell ref="D65:E65"/>
    <mergeCell ref="A1:L1"/>
    <mergeCell ref="Q1:R1"/>
    <mergeCell ref="A12:A13"/>
    <mergeCell ref="C12:E12"/>
    <mergeCell ref="F12:F13"/>
    <mergeCell ref="G12:H12"/>
    <mergeCell ref="I12:J12"/>
    <mergeCell ref="K12:L12"/>
    <mergeCell ref="D13:E13"/>
    <mergeCell ref="O8:P8"/>
    <mergeCell ref="K90:L90"/>
    <mergeCell ref="D91:E91"/>
    <mergeCell ref="A38:A39"/>
    <mergeCell ref="C38:E38"/>
    <mergeCell ref="F38:F39"/>
    <mergeCell ref="G38:H38"/>
    <mergeCell ref="I38:J38"/>
    <mergeCell ref="K38:L38"/>
    <mergeCell ref="D39:E39"/>
    <mergeCell ref="A90:A91"/>
    <mergeCell ref="C90:E90"/>
    <mergeCell ref="F90:F91"/>
    <mergeCell ref="G90:H90"/>
    <mergeCell ref="I90:J90"/>
    <mergeCell ref="A64:A65"/>
    <mergeCell ref="C64:E6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2" sqref="A2:B13"/>
    </sheetView>
  </sheetViews>
  <sheetFormatPr defaultRowHeight="12.5" x14ac:dyDescent="0.25"/>
  <cols>
    <col min="1" max="1" width="13.81640625" style="55" bestFit="1" customWidth="1"/>
    <col min="2" max="2" width="16.1796875" customWidth="1"/>
  </cols>
  <sheetData>
    <row r="1" spans="1:2" ht="13" x14ac:dyDescent="0.25">
      <c r="A1" s="116" t="s">
        <v>185</v>
      </c>
      <c r="B1" s="117" t="s">
        <v>187</v>
      </c>
    </row>
    <row r="2" spans="1:2" x14ac:dyDescent="0.25">
      <c r="A2" s="182">
        <v>42339</v>
      </c>
      <c r="B2" s="186">
        <v>299357.39</v>
      </c>
    </row>
    <row r="3" spans="1:2" x14ac:dyDescent="0.25">
      <c r="A3" s="182">
        <v>42370</v>
      </c>
      <c r="B3" s="186">
        <v>224159.79</v>
      </c>
    </row>
    <row r="4" spans="1:2" x14ac:dyDescent="0.25">
      <c r="A4" s="182">
        <v>42401</v>
      </c>
      <c r="B4" s="186">
        <v>234180.16</v>
      </c>
    </row>
    <row r="5" spans="1:2" x14ac:dyDescent="0.25">
      <c r="A5" s="182">
        <v>42430</v>
      </c>
      <c r="B5" s="186">
        <v>286763.12</v>
      </c>
    </row>
    <row r="6" spans="1:2" x14ac:dyDescent="0.25">
      <c r="A6" s="182">
        <v>42461</v>
      </c>
      <c r="B6" s="186">
        <v>360050.42</v>
      </c>
    </row>
    <row r="7" spans="1:2" x14ac:dyDescent="0.25">
      <c r="A7" s="182">
        <v>42491</v>
      </c>
      <c r="B7" s="186">
        <v>264365.06</v>
      </c>
    </row>
    <row r="8" spans="1:2" x14ac:dyDescent="0.25">
      <c r="A8" s="182">
        <v>42522</v>
      </c>
      <c r="B8" s="186">
        <v>271485.67</v>
      </c>
    </row>
    <row r="9" spans="1:2" x14ac:dyDescent="0.25">
      <c r="A9" s="182">
        <v>42552</v>
      </c>
      <c r="B9" s="186">
        <v>273552.55</v>
      </c>
    </row>
    <row r="10" spans="1:2" x14ac:dyDescent="0.25">
      <c r="A10" s="182">
        <v>42583</v>
      </c>
      <c r="B10" s="186">
        <v>263538.34000000003</v>
      </c>
    </row>
    <row r="11" spans="1:2" x14ac:dyDescent="0.25">
      <c r="A11" s="182">
        <v>42614</v>
      </c>
      <c r="B11" s="186">
        <v>285779.65000000002</v>
      </c>
    </row>
    <row r="12" spans="1:2" x14ac:dyDescent="0.25">
      <c r="A12" s="182">
        <v>42644</v>
      </c>
      <c r="B12" s="186">
        <v>269567.08</v>
      </c>
    </row>
    <row r="13" spans="1:2" x14ac:dyDescent="0.25">
      <c r="A13" s="182">
        <v>42675</v>
      </c>
      <c r="B13" s="186">
        <v>304764.62</v>
      </c>
    </row>
    <row r="14" spans="1:2" ht="13" x14ac:dyDescent="0.25">
      <c r="A14" s="116" t="s">
        <v>95</v>
      </c>
      <c r="B14" s="58">
        <f>SUM(B2:B13)</f>
        <v>3337563.85</v>
      </c>
    </row>
    <row r="15" spans="1:2" ht="13" x14ac:dyDescent="0.25">
      <c r="A15" s="116" t="s">
        <v>186</v>
      </c>
      <c r="B15" s="58">
        <f>AVERAGE(B2:B13)</f>
        <v>278130.32083333336</v>
      </c>
    </row>
    <row r="16" spans="1:2" x14ac:dyDescent="0.25">
      <c r="B16" s="5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1" sqref="E11"/>
    </sheetView>
  </sheetViews>
  <sheetFormatPr defaultRowHeight="12.5" x14ac:dyDescent="0.25"/>
  <cols>
    <col min="1" max="1" width="18.7265625" bestFit="1" customWidth="1"/>
    <col min="2" max="5" width="15" customWidth="1"/>
  </cols>
  <sheetData>
    <row r="1" spans="1:5" ht="15.5" x14ac:dyDescent="0.35">
      <c r="A1" s="217" t="s">
        <v>219</v>
      </c>
      <c r="B1" s="217"/>
      <c r="C1" s="217"/>
      <c r="D1" s="217"/>
      <c r="E1" s="217"/>
    </row>
    <row r="4" spans="1:5" ht="13" x14ac:dyDescent="0.25">
      <c r="A4" s="152" t="s">
        <v>217</v>
      </c>
      <c r="B4" s="152" t="s">
        <v>53</v>
      </c>
      <c r="C4" s="152" t="s">
        <v>54</v>
      </c>
      <c r="D4" s="152" t="s">
        <v>218</v>
      </c>
      <c r="E4" s="152" t="s">
        <v>197</v>
      </c>
    </row>
    <row r="5" spans="1:5" x14ac:dyDescent="0.25">
      <c r="A5" s="12" t="s">
        <v>198</v>
      </c>
      <c r="B5" s="183">
        <v>3347071</v>
      </c>
      <c r="C5" s="153">
        <f>ROUND((B5/12),0)</f>
        <v>278923</v>
      </c>
      <c r="D5" s="40">
        <v>0</v>
      </c>
      <c r="E5" s="153">
        <f>C5*(1-D5)</f>
        <v>278923</v>
      </c>
    </row>
    <row r="6" spans="1:5" x14ac:dyDescent="0.25">
      <c r="A6" s="12" t="s">
        <v>199</v>
      </c>
      <c r="B6" s="183">
        <v>12958488</v>
      </c>
      <c r="C6" s="153">
        <f t="shared" ref="C6:C10" si="0">ROUND((B6/12),0)</f>
        <v>1079874</v>
      </c>
      <c r="D6" s="40">
        <v>0</v>
      </c>
      <c r="E6" s="153">
        <f t="shared" ref="E6:E10" si="1">C6*(1-D6)</f>
        <v>1079874</v>
      </c>
    </row>
    <row r="7" spans="1:5" x14ac:dyDescent="0.25">
      <c r="A7" s="12" t="s">
        <v>200</v>
      </c>
      <c r="B7" s="183">
        <v>0</v>
      </c>
      <c r="C7" s="153">
        <f t="shared" si="0"/>
        <v>0</v>
      </c>
      <c r="D7" s="40">
        <v>0</v>
      </c>
      <c r="E7" s="153">
        <f t="shared" si="1"/>
        <v>0</v>
      </c>
    </row>
    <row r="8" spans="1:5" x14ac:dyDescent="0.25">
      <c r="A8" s="12" t="s">
        <v>201</v>
      </c>
      <c r="B8" s="183">
        <v>3527979</v>
      </c>
      <c r="C8" s="153">
        <f t="shared" si="0"/>
        <v>293998</v>
      </c>
      <c r="D8" s="40">
        <v>0.5</v>
      </c>
      <c r="E8" s="153">
        <f t="shared" si="1"/>
        <v>146999</v>
      </c>
    </row>
    <row r="9" spans="1:5" x14ac:dyDescent="0.25">
      <c r="A9" s="12" t="s">
        <v>202</v>
      </c>
      <c r="B9" s="183">
        <v>2349076</v>
      </c>
      <c r="C9" s="153">
        <f t="shared" si="0"/>
        <v>195756</v>
      </c>
      <c r="D9" s="40">
        <v>1</v>
      </c>
      <c r="E9" s="153">
        <f t="shared" si="1"/>
        <v>0</v>
      </c>
    </row>
    <row r="10" spans="1:5" x14ac:dyDescent="0.25">
      <c r="A10" s="12" t="s">
        <v>203</v>
      </c>
      <c r="B10" s="183">
        <v>9461</v>
      </c>
      <c r="C10" s="153">
        <f t="shared" si="0"/>
        <v>788</v>
      </c>
      <c r="D10" s="40">
        <v>0</v>
      </c>
      <c r="E10" s="153">
        <f t="shared" si="1"/>
        <v>788</v>
      </c>
    </row>
    <row r="11" spans="1:5" ht="13" x14ac:dyDescent="0.25">
      <c r="A11" s="152" t="s">
        <v>28</v>
      </c>
      <c r="B11" s="154">
        <f>SUM(B5:B10)</f>
        <v>22192075</v>
      </c>
      <c r="C11" s="154">
        <f>SUM(C5:C10)</f>
        <v>1849339</v>
      </c>
      <c r="D11" s="152"/>
      <c r="E11" s="154">
        <f>SUM(E5:E10)</f>
        <v>1506584</v>
      </c>
    </row>
  </sheetData>
  <mergeCells count="1">
    <mergeCell ref="A1:E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43" workbookViewId="0">
      <selection activeCell="B53" sqref="B53"/>
    </sheetView>
  </sheetViews>
  <sheetFormatPr defaultColWidth="9.1796875" defaultRowHeight="12.5" x14ac:dyDescent="0.25"/>
  <cols>
    <col min="1" max="1" width="32.1796875" style="13" customWidth="1"/>
    <col min="2" max="2" width="25.81640625" style="13" customWidth="1"/>
    <col min="3" max="3" width="13.1796875" style="13" bestFit="1" customWidth="1"/>
    <col min="4" max="4" width="12.1796875" style="22" customWidth="1"/>
    <col min="5" max="5" width="35.1796875" style="13" customWidth="1"/>
    <col min="6" max="16384" width="9.1796875" style="13"/>
  </cols>
  <sheetData>
    <row r="1" spans="1:5" s="14" customFormat="1" ht="13" x14ac:dyDescent="0.25">
      <c r="A1" s="47" t="s">
        <v>41</v>
      </c>
      <c r="B1" s="47" t="s">
        <v>2</v>
      </c>
      <c r="C1" s="3" t="s">
        <v>4</v>
      </c>
      <c r="D1" s="15" t="s">
        <v>5</v>
      </c>
      <c r="E1" s="3" t="s">
        <v>30</v>
      </c>
    </row>
    <row r="2" spans="1:5" x14ac:dyDescent="0.25">
      <c r="A2" s="218" t="s">
        <v>77</v>
      </c>
      <c r="B2" s="148" t="s">
        <v>31</v>
      </c>
      <c r="C2" s="12" t="s">
        <v>3</v>
      </c>
      <c r="D2" s="174">
        <f>(2.299+2.4021)/2</f>
        <v>2.3505500000000001</v>
      </c>
      <c r="E2" s="16"/>
    </row>
    <row r="3" spans="1:5" x14ac:dyDescent="0.25">
      <c r="A3" s="218"/>
      <c r="B3" s="147" t="s">
        <v>104</v>
      </c>
      <c r="C3" s="21" t="s">
        <v>73</v>
      </c>
      <c r="D3" s="165">
        <v>0.04</v>
      </c>
      <c r="E3" s="16"/>
    </row>
    <row r="4" spans="1:5" x14ac:dyDescent="0.25">
      <c r="A4" s="218"/>
      <c r="B4" s="147" t="s">
        <v>206</v>
      </c>
      <c r="C4" s="51" t="s">
        <v>210</v>
      </c>
      <c r="D4" s="166">
        <v>0.315</v>
      </c>
      <c r="E4" s="16"/>
    </row>
    <row r="5" spans="1:5" x14ac:dyDescent="0.25">
      <c r="A5" s="218"/>
      <c r="B5" s="147" t="s">
        <v>207</v>
      </c>
      <c r="C5" s="51" t="s">
        <v>210</v>
      </c>
      <c r="D5" s="166">
        <v>0.35</v>
      </c>
      <c r="E5" s="16"/>
    </row>
    <row r="6" spans="1:5" x14ac:dyDescent="0.25">
      <c r="A6" s="218"/>
      <c r="B6" s="147" t="s">
        <v>208</v>
      </c>
      <c r="C6" s="51" t="s">
        <v>210</v>
      </c>
      <c r="D6" s="166">
        <v>0.45</v>
      </c>
      <c r="E6" s="16"/>
    </row>
    <row r="7" spans="1:5" x14ac:dyDescent="0.25">
      <c r="A7" s="218"/>
      <c r="B7" s="147" t="s">
        <v>209</v>
      </c>
      <c r="C7" s="51" t="s">
        <v>210</v>
      </c>
      <c r="D7" s="166">
        <v>0.495</v>
      </c>
      <c r="E7" s="16"/>
    </row>
    <row r="8" spans="1:5" x14ac:dyDescent="0.25">
      <c r="A8" s="224" t="s">
        <v>105</v>
      </c>
      <c r="B8" s="225"/>
      <c r="C8" s="48" t="s">
        <v>7</v>
      </c>
      <c r="D8" s="170">
        <v>11</v>
      </c>
      <c r="E8" s="16"/>
    </row>
    <row r="9" spans="1:5" x14ac:dyDescent="0.25">
      <c r="A9" s="222" t="s">
        <v>27</v>
      </c>
      <c r="B9" s="12" t="s">
        <v>32</v>
      </c>
      <c r="C9" s="12" t="s">
        <v>7</v>
      </c>
      <c r="D9" s="167">
        <v>866.58</v>
      </c>
      <c r="E9" s="17"/>
    </row>
    <row r="10" spans="1:5" x14ac:dyDescent="0.25">
      <c r="A10" s="223"/>
      <c r="B10" s="12" t="s">
        <v>33</v>
      </c>
      <c r="C10" s="12" t="s">
        <v>7</v>
      </c>
      <c r="D10" s="167">
        <v>285</v>
      </c>
      <c r="E10" s="17"/>
    </row>
    <row r="11" spans="1:5" x14ac:dyDescent="0.25">
      <c r="A11" s="223"/>
      <c r="B11" s="48" t="s">
        <v>84</v>
      </c>
      <c r="C11" s="12" t="s">
        <v>7</v>
      </c>
      <c r="D11" s="167">
        <v>1514.01</v>
      </c>
      <c r="E11" s="17"/>
    </row>
    <row r="12" spans="1:5" x14ac:dyDescent="0.25">
      <c r="A12" s="223"/>
      <c r="B12" s="48" t="s">
        <v>85</v>
      </c>
      <c r="C12" s="12" t="s">
        <v>7</v>
      </c>
      <c r="D12" s="167">
        <v>480</v>
      </c>
      <c r="E12" s="17"/>
    </row>
    <row r="13" spans="1:5" x14ac:dyDescent="0.25">
      <c r="A13" s="223"/>
      <c r="B13" s="48" t="s">
        <v>86</v>
      </c>
      <c r="C13" s="12" t="s">
        <v>7</v>
      </c>
      <c r="D13" s="167">
        <f>D11</f>
        <v>1514.01</v>
      </c>
      <c r="E13" s="17"/>
    </row>
    <row r="14" spans="1:5" x14ac:dyDescent="0.25">
      <c r="A14" s="223"/>
      <c r="B14" s="48" t="s">
        <v>87</v>
      </c>
      <c r="C14" s="12" t="s">
        <v>7</v>
      </c>
      <c r="D14" s="167">
        <f>D12</f>
        <v>480</v>
      </c>
      <c r="E14" s="17"/>
    </row>
    <row r="15" spans="1:5" x14ac:dyDescent="0.25">
      <c r="A15" s="223"/>
      <c r="B15" s="48" t="s">
        <v>88</v>
      </c>
      <c r="C15" s="12" t="s">
        <v>7</v>
      </c>
      <c r="D15" s="167">
        <f>D11</f>
        <v>1514.01</v>
      </c>
      <c r="E15" s="17"/>
    </row>
    <row r="16" spans="1:5" x14ac:dyDescent="0.25">
      <c r="A16" s="226"/>
      <c r="B16" s="48" t="s">
        <v>89</v>
      </c>
      <c r="C16" s="12" t="s">
        <v>7</v>
      </c>
      <c r="D16" s="167">
        <f>D12</f>
        <v>480</v>
      </c>
      <c r="E16" s="17"/>
    </row>
    <row r="17" spans="1:5" x14ac:dyDescent="0.25">
      <c r="A17" s="218" t="s">
        <v>114</v>
      </c>
      <c r="B17" s="48" t="s">
        <v>29</v>
      </c>
      <c r="C17" s="48" t="s">
        <v>107</v>
      </c>
      <c r="D17" s="168">
        <v>7.0000000000000007E-2</v>
      </c>
      <c r="E17" s="17"/>
    </row>
    <row r="18" spans="1:5" x14ac:dyDescent="0.25">
      <c r="A18" s="218"/>
      <c r="B18" s="48" t="s">
        <v>80</v>
      </c>
      <c r="C18" s="48" t="s">
        <v>107</v>
      </c>
      <c r="D18" s="168">
        <v>7.0000000000000007E-2</v>
      </c>
      <c r="E18" s="17"/>
    </row>
    <row r="19" spans="1:5" x14ac:dyDescent="0.25">
      <c r="A19" s="218"/>
      <c r="B19" s="48" t="s">
        <v>81</v>
      </c>
      <c r="C19" s="48" t="s">
        <v>107</v>
      </c>
      <c r="D19" s="168">
        <v>7.0000000000000007E-2</v>
      </c>
      <c r="E19" s="17"/>
    </row>
    <row r="20" spans="1:5" x14ac:dyDescent="0.25">
      <c r="A20" s="218"/>
      <c r="B20" s="12" t="s">
        <v>82</v>
      </c>
      <c r="C20" s="48" t="s">
        <v>107</v>
      </c>
      <c r="D20" s="168">
        <v>7.0000000000000007E-2</v>
      </c>
      <c r="E20" s="17"/>
    </row>
    <row r="21" spans="1:5" x14ac:dyDescent="0.25">
      <c r="A21" s="218" t="s">
        <v>42</v>
      </c>
      <c r="B21" s="48" t="s">
        <v>29</v>
      </c>
      <c r="C21" s="12" t="s">
        <v>7</v>
      </c>
      <c r="D21" s="167">
        <v>312477</v>
      </c>
      <c r="E21" s="176"/>
    </row>
    <row r="22" spans="1:5" x14ac:dyDescent="0.25">
      <c r="A22" s="218"/>
      <c r="B22" s="48" t="s">
        <v>80</v>
      </c>
      <c r="C22" s="12" t="s">
        <v>7</v>
      </c>
      <c r="D22" s="167">
        <v>344322.6</v>
      </c>
      <c r="E22" s="176"/>
    </row>
    <row r="23" spans="1:5" x14ac:dyDescent="0.25">
      <c r="A23" s="218"/>
      <c r="B23" s="48" t="s">
        <v>81</v>
      </c>
      <c r="C23" s="12" t="s">
        <v>7</v>
      </c>
      <c r="D23" s="167">
        <v>364740.14</v>
      </c>
      <c r="E23" s="176"/>
    </row>
    <row r="24" spans="1:5" x14ac:dyDescent="0.25">
      <c r="A24" s="218"/>
      <c r="B24" s="12" t="s">
        <v>82</v>
      </c>
      <c r="C24" s="48" t="s">
        <v>7</v>
      </c>
      <c r="D24" s="167">
        <v>411990.14</v>
      </c>
      <c r="E24" s="176"/>
    </row>
    <row r="25" spans="1:5" x14ac:dyDescent="0.25">
      <c r="A25" s="218" t="s">
        <v>99</v>
      </c>
      <c r="B25" s="48" t="s">
        <v>95</v>
      </c>
      <c r="C25" s="21" t="s">
        <v>44</v>
      </c>
      <c r="D25" s="175">
        <f>Quilometragem!C18</f>
        <v>13287547.999999998</v>
      </c>
      <c r="E25" s="176"/>
    </row>
    <row r="26" spans="1:5" x14ac:dyDescent="0.25">
      <c r="A26" s="218"/>
      <c r="B26" s="48" t="s">
        <v>100</v>
      </c>
      <c r="C26" s="21" t="s">
        <v>44</v>
      </c>
      <c r="D26" s="169">
        <v>0.05</v>
      </c>
      <c r="E26" s="17"/>
    </row>
    <row r="27" spans="1:5" x14ac:dyDescent="0.25">
      <c r="A27" s="218" t="s">
        <v>118</v>
      </c>
      <c r="B27" s="48" t="s">
        <v>29</v>
      </c>
      <c r="C27" s="48" t="s">
        <v>119</v>
      </c>
      <c r="D27" s="170">
        <v>7</v>
      </c>
      <c r="E27" s="17"/>
    </row>
    <row r="28" spans="1:5" x14ac:dyDescent="0.25">
      <c r="A28" s="218"/>
      <c r="B28" s="48" t="s">
        <v>80</v>
      </c>
      <c r="C28" s="48" t="s">
        <v>119</v>
      </c>
      <c r="D28" s="170">
        <v>7</v>
      </c>
      <c r="E28" s="17"/>
    </row>
    <row r="29" spans="1:5" x14ac:dyDescent="0.25">
      <c r="A29" s="218"/>
      <c r="B29" s="48" t="s">
        <v>81</v>
      </c>
      <c r="C29" s="48" t="s">
        <v>119</v>
      </c>
      <c r="D29" s="170">
        <v>10</v>
      </c>
      <c r="E29" s="17"/>
    </row>
    <row r="30" spans="1:5" x14ac:dyDescent="0.25">
      <c r="A30" s="218"/>
      <c r="B30" s="12" t="s">
        <v>82</v>
      </c>
      <c r="C30" s="48" t="s">
        <v>119</v>
      </c>
      <c r="D30" s="170">
        <v>10</v>
      </c>
      <c r="E30" s="17"/>
    </row>
    <row r="31" spans="1:5" x14ac:dyDescent="0.25">
      <c r="A31" s="218" t="s">
        <v>120</v>
      </c>
      <c r="B31" s="48" t="s">
        <v>29</v>
      </c>
      <c r="C31" s="48" t="s">
        <v>73</v>
      </c>
      <c r="D31" s="171">
        <v>0.2</v>
      </c>
      <c r="E31" s="17"/>
    </row>
    <row r="32" spans="1:5" x14ac:dyDescent="0.25">
      <c r="A32" s="218"/>
      <c r="B32" s="48" t="s">
        <v>80</v>
      </c>
      <c r="C32" s="48" t="s">
        <v>73</v>
      </c>
      <c r="D32" s="171">
        <v>0.2</v>
      </c>
      <c r="E32" s="17"/>
    </row>
    <row r="33" spans="1:5" x14ac:dyDescent="0.25">
      <c r="A33" s="218"/>
      <c r="B33" s="48" t="s">
        <v>81</v>
      </c>
      <c r="C33" s="48" t="s">
        <v>73</v>
      </c>
      <c r="D33" s="171">
        <v>0.15</v>
      </c>
      <c r="E33" s="17"/>
    </row>
    <row r="34" spans="1:5" x14ac:dyDescent="0.25">
      <c r="A34" s="218"/>
      <c r="B34" s="12" t="s">
        <v>82</v>
      </c>
      <c r="C34" s="48" t="s">
        <v>73</v>
      </c>
      <c r="D34" s="171">
        <v>0.15</v>
      </c>
      <c r="E34" s="17"/>
    </row>
    <row r="35" spans="1:5" x14ac:dyDescent="0.25">
      <c r="A35" s="224" t="s">
        <v>121</v>
      </c>
      <c r="B35" s="225"/>
      <c r="C35" s="48" t="s">
        <v>73</v>
      </c>
      <c r="D35" s="171">
        <v>0.12</v>
      </c>
      <c r="E35" s="16"/>
    </row>
    <row r="36" spans="1:5" x14ac:dyDescent="0.25">
      <c r="A36" s="224" t="s">
        <v>122</v>
      </c>
      <c r="B36" s="225"/>
      <c r="C36" s="48" t="s">
        <v>73</v>
      </c>
      <c r="D36" s="165">
        <v>1.1999999999999999E-3</v>
      </c>
      <c r="E36" s="41" t="s">
        <v>123</v>
      </c>
    </row>
    <row r="37" spans="1:5" x14ac:dyDescent="0.25">
      <c r="A37" s="224" t="s">
        <v>124</v>
      </c>
      <c r="B37" s="225"/>
      <c r="C37" s="48" t="s">
        <v>73</v>
      </c>
      <c r="D37" s="165">
        <v>0.04</v>
      </c>
      <c r="E37" s="41" t="s">
        <v>123</v>
      </c>
    </row>
    <row r="38" spans="1:5" x14ac:dyDescent="0.25">
      <c r="A38" s="224" t="s">
        <v>125</v>
      </c>
      <c r="B38" s="225"/>
      <c r="C38" s="48" t="s">
        <v>73</v>
      </c>
      <c r="D38" s="165">
        <v>0.03</v>
      </c>
      <c r="E38" s="41" t="s">
        <v>126</v>
      </c>
    </row>
    <row r="39" spans="1:5" x14ac:dyDescent="0.25">
      <c r="A39" s="218" t="s">
        <v>70</v>
      </c>
      <c r="B39" s="12" t="s">
        <v>67</v>
      </c>
      <c r="C39" s="21" t="s">
        <v>18</v>
      </c>
      <c r="D39" s="167">
        <v>2081.1999999999998</v>
      </c>
      <c r="E39" s="17"/>
    </row>
    <row r="40" spans="1:5" x14ac:dyDescent="0.25">
      <c r="A40" s="218"/>
      <c r="B40" s="12" t="s">
        <v>68</v>
      </c>
      <c r="C40" s="21" t="s">
        <v>18</v>
      </c>
      <c r="D40" s="167">
        <v>0</v>
      </c>
      <c r="E40" s="17"/>
    </row>
    <row r="41" spans="1:5" x14ac:dyDescent="0.25">
      <c r="A41" s="218"/>
      <c r="B41" s="12" t="s">
        <v>69</v>
      </c>
      <c r="C41" s="21" t="s">
        <v>18</v>
      </c>
      <c r="D41" s="167">
        <v>1608.11</v>
      </c>
      <c r="E41" s="17"/>
    </row>
    <row r="42" spans="1:5" x14ac:dyDescent="0.25">
      <c r="A42" s="219" t="s">
        <v>181</v>
      </c>
      <c r="B42" s="48" t="s">
        <v>72</v>
      </c>
      <c r="C42" s="21" t="s">
        <v>73</v>
      </c>
      <c r="D42" s="165">
        <v>0.08</v>
      </c>
      <c r="E42" s="17"/>
    </row>
    <row r="43" spans="1:5" x14ac:dyDescent="0.25">
      <c r="A43" s="220"/>
      <c r="B43" s="48" t="s">
        <v>71</v>
      </c>
      <c r="C43" s="21" t="s">
        <v>73</v>
      </c>
      <c r="D43" s="165">
        <v>0.12</v>
      </c>
      <c r="E43" s="17"/>
    </row>
    <row r="44" spans="1:5" x14ac:dyDescent="0.25">
      <c r="A44" s="221"/>
      <c r="B44" s="48" t="s">
        <v>148</v>
      </c>
      <c r="C44" s="48" t="s">
        <v>18</v>
      </c>
      <c r="D44" s="172">
        <f>Diretoria!J9</f>
        <v>25360.297372500005</v>
      </c>
      <c r="E44" s="17"/>
    </row>
    <row r="45" spans="1:5" x14ac:dyDescent="0.25">
      <c r="A45" s="218" t="s">
        <v>177</v>
      </c>
      <c r="B45" s="218"/>
      <c r="C45" s="21" t="s">
        <v>73</v>
      </c>
      <c r="D45" s="165">
        <f>Encargos!B30</f>
        <v>0.40899999999999997</v>
      </c>
      <c r="E45" s="17"/>
    </row>
    <row r="46" spans="1:5" x14ac:dyDescent="0.25">
      <c r="A46" s="218" t="s">
        <v>176</v>
      </c>
      <c r="B46" s="48" t="s">
        <v>67</v>
      </c>
      <c r="C46" s="114" t="s">
        <v>175</v>
      </c>
      <c r="D46" s="173">
        <v>2.2000000000000002</v>
      </c>
      <c r="E46" s="17"/>
    </row>
    <row r="47" spans="1:5" x14ac:dyDescent="0.25">
      <c r="A47" s="218"/>
      <c r="B47" s="48" t="s">
        <v>68</v>
      </c>
      <c r="C47" s="114" t="s">
        <v>175</v>
      </c>
      <c r="D47" s="173">
        <v>0</v>
      </c>
      <c r="E47" s="17"/>
    </row>
    <row r="48" spans="1:5" x14ac:dyDescent="0.25">
      <c r="A48" s="218"/>
      <c r="B48" s="48" t="s">
        <v>133</v>
      </c>
      <c r="C48" s="114" t="s">
        <v>175</v>
      </c>
      <c r="D48" s="173">
        <v>0.2</v>
      </c>
      <c r="E48" s="17"/>
    </row>
    <row r="49" spans="1:5" x14ac:dyDescent="0.25">
      <c r="A49" s="222" t="s">
        <v>182</v>
      </c>
      <c r="B49" s="49" t="s">
        <v>136</v>
      </c>
      <c r="C49" s="114" t="s">
        <v>18</v>
      </c>
      <c r="D49" s="172">
        <v>315.3</v>
      </c>
      <c r="E49" s="17"/>
    </row>
    <row r="50" spans="1:5" x14ac:dyDescent="0.25">
      <c r="A50" s="223"/>
      <c r="B50" s="48" t="s">
        <v>178</v>
      </c>
      <c r="C50" s="114" t="s">
        <v>18</v>
      </c>
      <c r="D50" s="172">
        <v>11.33</v>
      </c>
      <c r="E50" s="17"/>
    </row>
    <row r="51" spans="1:5" x14ac:dyDescent="0.25">
      <c r="A51" s="223"/>
      <c r="B51" s="48" t="s">
        <v>179</v>
      </c>
      <c r="C51" s="114" t="s">
        <v>18</v>
      </c>
      <c r="D51" s="172">
        <v>12.5</v>
      </c>
      <c r="E51" s="17"/>
    </row>
    <row r="52" spans="1:5" x14ac:dyDescent="0.25">
      <c r="A52" s="223"/>
      <c r="B52" s="48" t="s">
        <v>180</v>
      </c>
      <c r="C52" s="114" t="s">
        <v>18</v>
      </c>
      <c r="D52" s="172">
        <v>10.36</v>
      </c>
      <c r="E52" s="17"/>
    </row>
    <row r="53" spans="1:5" x14ac:dyDescent="0.25">
      <c r="A53" s="222" t="s">
        <v>74</v>
      </c>
      <c r="B53" s="48" t="s">
        <v>21</v>
      </c>
      <c r="C53" s="48" t="s">
        <v>75</v>
      </c>
      <c r="D53" s="172">
        <v>0</v>
      </c>
      <c r="E53" s="41"/>
    </row>
    <row r="54" spans="1:5" x14ac:dyDescent="0.25">
      <c r="A54" s="223"/>
      <c r="B54" s="48" t="s">
        <v>20</v>
      </c>
      <c r="C54" s="21" t="s">
        <v>75</v>
      </c>
      <c r="D54" s="167">
        <v>396.49</v>
      </c>
      <c r="E54" s="17"/>
    </row>
    <row r="55" spans="1:5" x14ac:dyDescent="0.25">
      <c r="A55" s="223"/>
      <c r="B55" s="48" t="s">
        <v>79</v>
      </c>
      <c r="C55" s="21" t="s">
        <v>75</v>
      </c>
      <c r="D55" s="167">
        <v>3715.08</v>
      </c>
      <c r="E55" s="17"/>
    </row>
    <row r="56" spans="1:5" x14ac:dyDescent="0.25">
      <c r="A56" s="223"/>
      <c r="B56" s="48" t="s">
        <v>25</v>
      </c>
      <c r="C56" s="21" t="s">
        <v>75</v>
      </c>
      <c r="D56" s="167">
        <v>70.12</v>
      </c>
      <c r="E56" s="17"/>
    </row>
    <row r="57" spans="1:5" x14ac:dyDescent="0.25">
      <c r="A57" s="226"/>
      <c r="B57" s="184" t="s">
        <v>232</v>
      </c>
      <c r="C57" s="46" t="s">
        <v>73</v>
      </c>
      <c r="D57" s="165">
        <v>2.5000000000000001E-3</v>
      </c>
      <c r="E57" s="17"/>
    </row>
    <row r="58" spans="1:5" x14ac:dyDescent="0.25">
      <c r="A58" s="48" t="s">
        <v>188</v>
      </c>
      <c r="B58" s="48" t="s">
        <v>189</v>
      </c>
      <c r="C58" s="21" t="s">
        <v>18</v>
      </c>
      <c r="D58" s="167">
        <f>Bilhetagem!B15</f>
        <v>278130.32083333336</v>
      </c>
      <c r="E58" s="21"/>
    </row>
    <row r="59" spans="1:5" x14ac:dyDescent="0.25">
      <c r="A59" s="218" t="s">
        <v>76</v>
      </c>
      <c r="B59" s="48" t="s">
        <v>22</v>
      </c>
      <c r="C59" s="21" t="s">
        <v>73</v>
      </c>
      <c r="D59" s="165">
        <v>0</v>
      </c>
      <c r="E59" s="41"/>
    </row>
    <row r="60" spans="1:5" x14ac:dyDescent="0.25">
      <c r="A60" s="218"/>
      <c r="B60" s="48" t="s">
        <v>23</v>
      </c>
      <c r="C60" s="21" t="s">
        <v>73</v>
      </c>
      <c r="D60" s="165">
        <v>0</v>
      </c>
      <c r="E60" s="17"/>
    </row>
    <row r="61" spans="1:5" x14ac:dyDescent="0.25">
      <c r="A61" s="218"/>
      <c r="B61" s="48" t="s">
        <v>193</v>
      </c>
      <c r="C61" s="21" t="s">
        <v>73</v>
      </c>
      <c r="D61" s="165">
        <v>0</v>
      </c>
      <c r="E61" s="17"/>
    </row>
    <row r="62" spans="1:5" x14ac:dyDescent="0.25">
      <c r="A62" s="218"/>
      <c r="B62" s="48" t="s">
        <v>205</v>
      </c>
      <c r="C62" s="48" t="s">
        <v>73</v>
      </c>
      <c r="D62" s="165">
        <v>0.02</v>
      </c>
      <c r="E62" s="17"/>
    </row>
  </sheetData>
  <mergeCells count="19">
    <mergeCell ref="A25:A26"/>
    <mergeCell ref="A53:A57"/>
    <mergeCell ref="A17:A20"/>
    <mergeCell ref="A27:A30"/>
    <mergeCell ref="A31:A34"/>
    <mergeCell ref="A46:A48"/>
    <mergeCell ref="A2:A7"/>
    <mergeCell ref="A59:A62"/>
    <mergeCell ref="A39:A41"/>
    <mergeCell ref="A45:B45"/>
    <mergeCell ref="A42:A44"/>
    <mergeCell ref="A49:A52"/>
    <mergeCell ref="A8:B8"/>
    <mergeCell ref="A35:B35"/>
    <mergeCell ref="A36:B36"/>
    <mergeCell ref="A37:B37"/>
    <mergeCell ref="A38:B38"/>
    <mergeCell ref="A9:A16"/>
    <mergeCell ref="A21:A2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6" sqref="G16"/>
    </sheetView>
  </sheetViews>
  <sheetFormatPr defaultRowHeight="12.5" x14ac:dyDescent="0.25"/>
  <cols>
    <col min="1" max="1" width="20.7265625" customWidth="1"/>
    <col min="2" max="2" width="16.1796875" hidden="1" customWidth="1"/>
    <col min="5" max="5" width="10.54296875" customWidth="1"/>
    <col min="6" max="6" width="12.453125" customWidth="1"/>
  </cols>
  <sheetData>
    <row r="1" spans="1:7" ht="15.5" x14ac:dyDescent="0.35">
      <c r="A1" s="217" t="s">
        <v>221</v>
      </c>
      <c r="B1" s="217"/>
      <c r="C1" s="217"/>
      <c r="D1" s="217"/>
      <c r="E1" s="217"/>
      <c r="F1" s="217"/>
      <c r="G1" s="217"/>
    </row>
    <row r="3" spans="1:7" ht="25.5" customHeight="1" x14ac:dyDescent="0.25">
      <c r="A3" s="69" t="s">
        <v>220</v>
      </c>
      <c r="B3" s="69" t="s">
        <v>220</v>
      </c>
      <c r="C3" s="69" t="s">
        <v>29</v>
      </c>
      <c r="D3" s="69" t="s">
        <v>80</v>
      </c>
      <c r="E3" s="69" t="s">
        <v>81</v>
      </c>
      <c r="F3" s="69" t="s">
        <v>82</v>
      </c>
      <c r="G3" s="69" t="s">
        <v>28</v>
      </c>
    </row>
    <row r="4" spans="1:7" ht="13" x14ac:dyDescent="0.25">
      <c r="A4" s="12" t="s">
        <v>55</v>
      </c>
      <c r="B4" s="12">
        <v>0</v>
      </c>
      <c r="C4" s="12"/>
      <c r="D4" s="12"/>
      <c r="E4" s="12"/>
      <c r="F4" s="12">
        <v>20</v>
      </c>
      <c r="G4" s="156">
        <f>SUM(C4:F4)</f>
        <v>20</v>
      </c>
    </row>
    <row r="5" spans="1:7" ht="13" x14ac:dyDescent="0.25">
      <c r="A5" s="12" t="s">
        <v>56</v>
      </c>
      <c r="B5" s="12">
        <v>1</v>
      </c>
      <c r="C5" s="12"/>
      <c r="D5" s="12"/>
      <c r="E5" s="12"/>
      <c r="F5" s="12"/>
      <c r="G5" s="156">
        <f t="shared" ref="G5:G14" si="0">SUM(C5:F5)</f>
        <v>0</v>
      </c>
    </row>
    <row r="6" spans="1:7" ht="13" x14ac:dyDescent="0.25">
      <c r="A6" s="12" t="s">
        <v>57</v>
      </c>
      <c r="B6" s="12">
        <v>2</v>
      </c>
      <c r="C6" s="12"/>
      <c r="D6" s="12"/>
      <c r="E6" s="12"/>
      <c r="F6" s="12">
        <v>31</v>
      </c>
      <c r="G6" s="156">
        <f t="shared" si="0"/>
        <v>31</v>
      </c>
    </row>
    <row r="7" spans="1:7" ht="13" x14ac:dyDescent="0.25">
      <c r="A7" s="12" t="s">
        <v>58</v>
      </c>
      <c r="B7" s="12">
        <v>3</v>
      </c>
      <c r="C7" s="12"/>
      <c r="D7" s="12"/>
      <c r="E7" s="12"/>
      <c r="F7" s="12">
        <v>40</v>
      </c>
      <c r="G7" s="156">
        <f t="shared" si="0"/>
        <v>40</v>
      </c>
    </row>
    <row r="8" spans="1:7" ht="13" x14ac:dyDescent="0.25">
      <c r="A8" s="12" t="s">
        <v>59</v>
      </c>
      <c r="B8" s="12">
        <v>4</v>
      </c>
      <c r="C8" s="12"/>
      <c r="D8" s="12"/>
      <c r="E8" s="12">
        <v>2</v>
      </c>
      <c r="F8" s="12"/>
      <c r="G8" s="156">
        <f t="shared" si="0"/>
        <v>2</v>
      </c>
    </row>
    <row r="9" spans="1:7" ht="13" x14ac:dyDescent="0.25">
      <c r="A9" s="12" t="s">
        <v>60</v>
      </c>
      <c r="B9" s="12">
        <v>5</v>
      </c>
      <c r="C9" s="12"/>
      <c r="D9" s="12"/>
      <c r="E9" s="12">
        <v>3</v>
      </c>
      <c r="F9" s="12"/>
      <c r="G9" s="156">
        <f t="shared" si="0"/>
        <v>3</v>
      </c>
    </row>
    <row r="10" spans="1:7" ht="13" x14ac:dyDescent="0.25">
      <c r="A10" s="12" t="s">
        <v>61</v>
      </c>
      <c r="B10" s="12">
        <v>6</v>
      </c>
      <c r="C10" s="12">
        <v>8</v>
      </c>
      <c r="D10" s="12">
        <v>8</v>
      </c>
      <c r="E10" s="12">
        <v>20</v>
      </c>
      <c r="F10" s="12"/>
      <c r="G10" s="156">
        <f t="shared" si="0"/>
        <v>36</v>
      </c>
    </row>
    <row r="11" spans="1:7" ht="13" x14ac:dyDescent="0.25">
      <c r="A11" s="184" t="s">
        <v>62</v>
      </c>
      <c r="B11" s="12">
        <v>7</v>
      </c>
      <c r="C11" s="12">
        <v>2</v>
      </c>
      <c r="D11" s="12"/>
      <c r="E11" s="12">
        <v>28</v>
      </c>
      <c r="F11" s="12"/>
      <c r="G11" s="156">
        <f t="shared" si="0"/>
        <v>30</v>
      </c>
    </row>
    <row r="12" spans="1:7" ht="13" x14ac:dyDescent="0.25">
      <c r="A12" s="12" t="s">
        <v>63</v>
      </c>
      <c r="B12" s="12">
        <v>8</v>
      </c>
      <c r="C12" s="12"/>
      <c r="D12" s="12"/>
      <c r="E12" s="12">
        <v>36</v>
      </c>
      <c r="F12" s="12"/>
      <c r="G12" s="156">
        <f t="shared" si="0"/>
        <v>36</v>
      </c>
    </row>
    <row r="13" spans="1:7" ht="13" x14ac:dyDescent="0.25">
      <c r="A13" s="12" t="s">
        <v>64</v>
      </c>
      <c r="B13" s="12">
        <v>9</v>
      </c>
      <c r="C13" s="12"/>
      <c r="D13" s="12"/>
      <c r="E13" s="12">
        <v>2</v>
      </c>
      <c r="F13" s="12"/>
      <c r="G13" s="156">
        <f t="shared" si="0"/>
        <v>2</v>
      </c>
    </row>
    <row r="14" spans="1:7" ht="13" x14ac:dyDescent="0.25">
      <c r="A14" s="12" t="s">
        <v>65</v>
      </c>
      <c r="B14" s="12">
        <v>10</v>
      </c>
      <c r="C14" s="12"/>
      <c r="D14" s="12">
        <v>4</v>
      </c>
      <c r="E14" s="12">
        <v>8</v>
      </c>
      <c r="F14" s="12"/>
      <c r="G14" s="156">
        <f t="shared" si="0"/>
        <v>12</v>
      </c>
    </row>
    <row r="15" spans="1:7" ht="21.75" customHeight="1" x14ac:dyDescent="0.25">
      <c r="A15" s="155" t="s">
        <v>28</v>
      </c>
      <c r="B15" s="155"/>
      <c r="C15" s="155">
        <f>SUM(C4:C14)</f>
        <v>10</v>
      </c>
      <c r="D15" s="155">
        <f t="shared" ref="D15:G15" si="1">SUM(D4:D14)</f>
        <v>12</v>
      </c>
      <c r="E15" s="155">
        <f t="shared" si="1"/>
        <v>99</v>
      </c>
      <c r="F15" s="155">
        <f t="shared" si="1"/>
        <v>91</v>
      </c>
      <c r="G15" s="155">
        <f t="shared" si="1"/>
        <v>212</v>
      </c>
    </row>
    <row r="16" spans="1:7" ht="21.75" customHeight="1" x14ac:dyDescent="0.25">
      <c r="A16" s="155" t="s">
        <v>222</v>
      </c>
      <c r="B16" s="155"/>
      <c r="C16" s="157">
        <f>SUMPRODUCT($B$4:$B$14,C4:C14)/C15</f>
        <v>6.2</v>
      </c>
      <c r="D16" s="157">
        <f t="shared" ref="D16:G16" si="2">SUMPRODUCT($B$4:$B$14,D4:D14)/D15</f>
        <v>7.333333333333333</v>
      </c>
      <c r="E16" s="157">
        <f t="shared" si="2"/>
        <v>7.3232323232323235</v>
      </c>
      <c r="F16" s="157">
        <f t="shared" si="2"/>
        <v>2</v>
      </c>
      <c r="G16" s="157">
        <f t="shared" si="2"/>
        <v>4.9858490566037732</v>
      </c>
    </row>
  </sheetData>
  <mergeCells count="1">
    <mergeCell ref="A1:G1"/>
  </mergeCells>
  <printOptions horizontalCentered="1"/>
  <pageMargins left="0.51181102362204722" right="0.51181102362204722" top="0.78740157480314965" bottom="0.78740157480314965" header="0.31496062992125984" footer="0.31496062992125984"/>
  <pageSetup orientation="portrait" r:id="rId1"/>
  <ignoredErrors>
    <ignoredError sqref="G4:G1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showGridLines="0" topLeftCell="A10" workbookViewId="0">
      <selection activeCell="A28" sqref="A28"/>
    </sheetView>
  </sheetViews>
  <sheetFormatPr defaultRowHeight="12.5" x14ac:dyDescent="0.25"/>
  <cols>
    <col min="1" max="1" width="24.453125" bestFit="1" customWidth="1"/>
    <col min="2" max="2" width="11.7265625" customWidth="1"/>
    <col min="3" max="3" width="13.26953125" customWidth="1"/>
    <col min="4" max="4" width="8.81640625" customWidth="1"/>
    <col min="5" max="5" width="8.7265625" customWidth="1"/>
    <col min="6" max="6" width="10.1796875" customWidth="1"/>
    <col min="7" max="7" width="12.453125" customWidth="1"/>
    <col min="8" max="8" width="1.26953125" customWidth="1"/>
    <col min="10" max="10" width="9.7265625" customWidth="1"/>
    <col min="11" max="11" width="14.453125" customWidth="1"/>
    <col min="12" max="12" width="8.81640625" customWidth="1"/>
    <col min="14" max="14" width="1.1796875" customWidth="1"/>
  </cols>
  <sheetData>
    <row r="1" spans="1:14" ht="18" x14ac:dyDescent="0.4">
      <c r="A1" s="231" t="s">
        <v>195</v>
      </c>
      <c r="B1" s="231"/>
      <c r="C1" s="231"/>
      <c r="D1" s="231"/>
      <c r="E1" s="231"/>
      <c r="F1" s="231"/>
      <c r="G1" s="231"/>
    </row>
    <row r="3" spans="1:14" ht="24.75" customHeight="1" x14ac:dyDescent="0.25">
      <c r="A3" s="145" t="s">
        <v>2</v>
      </c>
      <c r="B3" s="145" t="s">
        <v>108</v>
      </c>
      <c r="C3" s="145" t="s">
        <v>18</v>
      </c>
      <c r="D3" s="145" t="s">
        <v>17</v>
      </c>
      <c r="E3" s="145" t="s">
        <v>109</v>
      </c>
      <c r="F3" s="145" t="s">
        <v>111</v>
      </c>
      <c r="G3" s="145" t="s">
        <v>110</v>
      </c>
      <c r="I3" s="227" t="s">
        <v>211</v>
      </c>
      <c r="J3" s="227"/>
      <c r="K3" s="227"/>
      <c r="L3" s="227"/>
      <c r="M3" s="228">
        <f>D37</f>
        <v>4.6083493982160091</v>
      </c>
      <c r="N3" s="229"/>
    </row>
    <row r="4" spans="1:14" ht="12.75" customHeight="1" x14ac:dyDescent="0.25">
      <c r="A4" s="119" t="s">
        <v>19</v>
      </c>
      <c r="B4" s="120"/>
      <c r="C4" s="120"/>
      <c r="D4" s="121">
        <f>Combustível!E6</f>
        <v>1.0748776875000001</v>
      </c>
      <c r="E4" s="18">
        <f>D4/$D$8</f>
        <v>0.66203394475135424</v>
      </c>
      <c r="F4" s="18">
        <f>D4/$D$31</f>
        <v>0.23800581771454546</v>
      </c>
      <c r="G4" s="40">
        <f>D4/$D$37</f>
        <v>0.23324570136025458</v>
      </c>
      <c r="I4" s="227" t="s">
        <v>204</v>
      </c>
      <c r="J4" s="227"/>
      <c r="K4" s="227"/>
      <c r="L4" s="227"/>
      <c r="M4" s="228">
        <f>Demanda!E11/Quilometragem!E19</f>
        <v>1.2958073872728708</v>
      </c>
      <c r="N4" s="228"/>
    </row>
    <row r="5" spans="1:14" ht="12.75" customHeight="1" x14ac:dyDescent="0.25">
      <c r="A5" s="119" t="s">
        <v>78</v>
      </c>
      <c r="B5" s="120"/>
      <c r="C5" s="120"/>
      <c r="D5" s="121">
        <f>Insumos!D3*D4</f>
        <v>4.2995107500000004E-2</v>
      </c>
      <c r="E5" s="18">
        <f t="shared" ref="E5:E8" si="0">D5/$D$8</f>
        <v>2.6481357790054168E-2</v>
      </c>
      <c r="F5" s="18">
        <f t="shared" ref="F5:F31" si="1">D5/$D$31</f>
        <v>9.5202327085818182E-3</v>
      </c>
      <c r="G5" s="40">
        <f t="shared" ref="G5:G37" si="2">D5/$D$37</f>
        <v>9.329828054410183E-3</v>
      </c>
      <c r="I5" s="227"/>
      <c r="J5" s="227"/>
      <c r="K5" s="227"/>
      <c r="L5" s="227"/>
      <c r="M5" s="228"/>
      <c r="N5" s="228"/>
    </row>
    <row r="6" spans="1:14" x14ac:dyDescent="0.25">
      <c r="A6" s="119" t="s">
        <v>27</v>
      </c>
      <c r="B6" s="120"/>
      <c r="C6" s="120"/>
      <c r="D6" s="121">
        <f>Rodagem!J7</f>
        <v>0.1210974512763596</v>
      </c>
      <c r="E6" s="18">
        <f t="shared" si="0"/>
        <v>7.4585810367212832E-2</v>
      </c>
      <c r="F6" s="18">
        <f t="shared" si="1"/>
        <v>2.6814118712625422E-2</v>
      </c>
      <c r="G6" s="40">
        <f t="shared" si="2"/>
        <v>2.6277836338372915E-2</v>
      </c>
      <c r="I6" s="227" t="s">
        <v>196</v>
      </c>
      <c r="J6" s="227"/>
      <c r="K6" s="227"/>
      <c r="L6" s="227"/>
      <c r="M6" s="230">
        <f>ROUND((M3/M4),2)</f>
        <v>3.56</v>
      </c>
      <c r="N6" s="230"/>
    </row>
    <row r="7" spans="1:14" x14ac:dyDescent="0.25">
      <c r="A7" s="119" t="s">
        <v>114</v>
      </c>
      <c r="B7" s="120"/>
      <c r="C7" s="120"/>
      <c r="D7" s="121">
        <f>'Peças e acessórios'!F6</f>
        <v>0.38462880936375732</v>
      </c>
      <c r="E7" s="18">
        <f t="shared" si="0"/>
        <v>0.2368988870913788</v>
      </c>
      <c r="F7" s="18">
        <f t="shared" si="1"/>
        <v>8.5166801166102979E-2</v>
      </c>
      <c r="G7" s="40">
        <f t="shared" si="2"/>
        <v>8.3463465142780927E-2</v>
      </c>
      <c r="I7" s="227"/>
      <c r="J7" s="227"/>
      <c r="K7" s="227"/>
      <c r="L7" s="227"/>
      <c r="M7" s="230"/>
      <c r="N7" s="230"/>
    </row>
    <row r="8" spans="1:14" ht="13" x14ac:dyDescent="0.3">
      <c r="A8" s="122" t="s">
        <v>115</v>
      </c>
      <c r="B8" s="122"/>
      <c r="C8" s="122"/>
      <c r="D8" s="123">
        <f>SUM(D4:D7)</f>
        <v>1.623599055640117</v>
      </c>
      <c r="E8" s="124">
        <f t="shared" si="0"/>
        <v>1</v>
      </c>
      <c r="F8" s="124">
        <f t="shared" si="1"/>
        <v>0.35950697030185569</v>
      </c>
      <c r="G8" s="125">
        <f t="shared" si="2"/>
        <v>0.35231683089581856</v>
      </c>
    </row>
    <row r="9" spans="1:14" x14ac:dyDescent="0.25">
      <c r="A9" s="119" t="s">
        <v>16</v>
      </c>
      <c r="B9" s="126">
        <f>SUM(B10:B11)</f>
        <v>2446.5876686437109</v>
      </c>
      <c r="C9" s="126">
        <f t="shared" ref="C9:D9" si="3">SUM(C10:C11)</f>
        <v>518676.58575246675</v>
      </c>
      <c r="D9" s="121">
        <f t="shared" si="3"/>
        <v>0.4461118340719914</v>
      </c>
      <c r="E9" s="18">
        <f>D9/$D$30</f>
        <v>0.15422609459491168</v>
      </c>
      <c r="F9" s="18">
        <f t="shared" si="1"/>
        <v>9.8780738585607611E-2</v>
      </c>
      <c r="G9" s="40">
        <f t="shared" si="2"/>
        <v>9.6805123813895458E-2</v>
      </c>
    </row>
    <row r="10" spans="1:14" x14ac:dyDescent="0.25">
      <c r="A10" s="127" t="s">
        <v>106</v>
      </c>
      <c r="B10" s="126">
        <f>'Rem dep frota'!Q8</f>
        <v>2412.1554086437109</v>
      </c>
      <c r="C10" s="126">
        <f>'Rem dep frota'!Q7</f>
        <v>511376.94663246674</v>
      </c>
      <c r="D10" s="121">
        <f>C10/Quilometragem!$E$19</f>
        <v>0.43983344116716694</v>
      </c>
      <c r="E10" s="18">
        <f t="shared" ref="E10:E30" si="4">D10/$D$30</f>
        <v>0.15205558051281445</v>
      </c>
      <c r="F10" s="18">
        <f t="shared" si="1"/>
        <v>9.7390539445162669E-2</v>
      </c>
      <c r="G10" s="40">
        <f t="shared" si="2"/>
        <v>9.5442728656259412E-2</v>
      </c>
    </row>
    <row r="11" spans="1:14" x14ac:dyDescent="0.25">
      <c r="A11" s="127" t="s">
        <v>116</v>
      </c>
      <c r="B11" s="126">
        <f>Insumos!D36*Insumos!D22/12</f>
        <v>34.432259999999992</v>
      </c>
      <c r="C11" s="126">
        <f>B11*'Rem dep frota'!$P$7</f>
        <v>7299.639119999998</v>
      </c>
      <c r="D11" s="121">
        <f>C11/Quilometragem!$E$19</f>
        <v>6.2783929048244478E-3</v>
      </c>
      <c r="E11" s="18">
        <f t="shared" si="4"/>
        <v>2.1705140820972245E-3</v>
      </c>
      <c r="F11" s="18">
        <f t="shared" si="1"/>
        <v>1.3901991404449382E-3</v>
      </c>
      <c r="G11" s="40">
        <f t="shared" si="2"/>
        <v>1.3623951576360396E-3</v>
      </c>
    </row>
    <row r="12" spans="1:14" x14ac:dyDescent="0.25">
      <c r="A12" s="119" t="s">
        <v>15</v>
      </c>
      <c r="B12" s="126">
        <f>SUM(B13:B15)</f>
        <v>2000.5793742168212</v>
      </c>
      <c r="C12" s="126">
        <f t="shared" ref="C12:D12" si="5">SUM(C13:C15)</f>
        <v>424122.8273339661</v>
      </c>
      <c r="D12" s="121">
        <f t="shared" si="5"/>
        <v>0.36478649233657701</v>
      </c>
      <c r="E12" s="18">
        <f t="shared" si="4"/>
        <v>0.12611096988959958</v>
      </c>
      <c r="F12" s="18">
        <f t="shared" si="1"/>
        <v>8.0773197182761103E-2</v>
      </c>
      <c r="G12" s="40">
        <f t="shared" si="2"/>
        <v>7.9157733239105896E-2</v>
      </c>
    </row>
    <row r="13" spans="1:14" x14ac:dyDescent="0.25">
      <c r="A13" s="127" t="s">
        <v>106</v>
      </c>
      <c r="B13" s="126">
        <f>'Rem dep frota'!R8</f>
        <v>1748.4300260092741</v>
      </c>
      <c r="C13" s="126">
        <f>'Rem dep frota'!R7</f>
        <v>370667.16551396612</v>
      </c>
      <c r="D13" s="121">
        <f>C13/Quilometragem!$E$19</f>
        <v>0.31880947314752661</v>
      </c>
      <c r="E13" s="18">
        <f t="shared" si="4"/>
        <v>0.11021617497703452</v>
      </c>
      <c r="F13" s="18">
        <f t="shared" si="1"/>
        <v>7.0592691832781662E-2</v>
      </c>
      <c r="G13" s="40">
        <f t="shared" si="2"/>
        <v>6.9180837996126038E-2</v>
      </c>
    </row>
    <row r="14" spans="1:14" x14ac:dyDescent="0.25">
      <c r="A14" s="127" t="s">
        <v>116</v>
      </c>
      <c r="B14" s="126">
        <f>Insumos!D37*Insumos!D22*Insumos!D35/12</f>
        <v>137.72903999999997</v>
      </c>
      <c r="C14" s="126">
        <f>B14*'Rem dep frota'!$P$7</f>
        <v>29198.556479999992</v>
      </c>
      <c r="D14" s="121">
        <f>C14/Quilometragem!$E$19</f>
        <v>2.5113571619297791E-2</v>
      </c>
      <c r="E14" s="18">
        <f t="shared" si="4"/>
        <v>8.6820563283888982E-3</v>
      </c>
      <c r="F14" s="18">
        <f t="shared" si="1"/>
        <v>5.5607965617797527E-3</v>
      </c>
      <c r="G14" s="40">
        <f t="shared" si="2"/>
        <v>5.4495806305441584E-3</v>
      </c>
    </row>
    <row r="15" spans="1:14" x14ac:dyDescent="0.25">
      <c r="A15" s="127" t="s">
        <v>117</v>
      </c>
      <c r="B15" s="126">
        <f>Insumos!D38*Insumos!D35*'Preço médio de veículo'!B6/12</f>
        <v>114.42030820754718</v>
      </c>
      <c r="C15" s="126">
        <f>B15*'Rem dep frota'!$P$7</f>
        <v>24257.105340000002</v>
      </c>
      <c r="D15" s="121">
        <f>C15/Quilometragem!$E$19</f>
        <v>2.0863447569752638E-2</v>
      </c>
      <c r="E15" s="18">
        <f t="shared" si="4"/>
        <v>7.2127385841761725E-3</v>
      </c>
      <c r="F15" s="18">
        <f t="shared" si="1"/>
        <v>4.619708788199701E-3</v>
      </c>
      <c r="G15" s="40">
        <f t="shared" si="2"/>
        <v>4.5273146124357073E-3</v>
      </c>
    </row>
    <row r="16" spans="1:14" x14ac:dyDescent="0.25">
      <c r="A16" s="119" t="s">
        <v>129</v>
      </c>
      <c r="B16" s="126">
        <f>SUM(B17:B22)</f>
        <v>8895.2595730287758</v>
      </c>
      <c r="C16" s="126">
        <f t="shared" ref="C16:D16" si="6">SUM(C17:C22)</f>
        <v>1885795.0294820999</v>
      </c>
      <c r="D16" s="121">
        <f t="shared" si="6"/>
        <v>1.6219654065656921</v>
      </c>
      <c r="E16" s="18">
        <f t="shared" si="4"/>
        <v>0.56073246911963093</v>
      </c>
      <c r="F16" s="18">
        <f t="shared" si="1"/>
        <v>0.35914523799655362</v>
      </c>
      <c r="G16" s="40">
        <f t="shared" si="2"/>
        <v>0.35196233323662257</v>
      </c>
    </row>
    <row r="17" spans="1:7" x14ac:dyDescent="0.25">
      <c r="A17" s="127" t="s">
        <v>67</v>
      </c>
      <c r="B17" s="126">
        <f>C17/'Rem dep frota'!$P$7</f>
        <v>6819.4765743396229</v>
      </c>
      <c r="C17" s="126">
        <f>Operação!B11</f>
        <v>1445729.03376</v>
      </c>
      <c r="D17" s="121">
        <f>C17/Quilometragem!$E$19</f>
        <v>1.2434662534190446</v>
      </c>
      <c r="E17" s="18">
        <f t="shared" si="4"/>
        <v>0.42988087151805587</v>
      </c>
      <c r="F17" s="18">
        <f t="shared" si="1"/>
        <v>0.27533570180787836</v>
      </c>
      <c r="G17" s="40">
        <f t="shared" si="2"/>
        <v>0.26982898777172082</v>
      </c>
    </row>
    <row r="18" spans="1:7" x14ac:dyDescent="0.25">
      <c r="A18" s="127" t="s">
        <v>68</v>
      </c>
      <c r="B18" s="126">
        <f>C18/'Rem dep frota'!$P$7</f>
        <v>0</v>
      </c>
      <c r="C18" s="126">
        <f>Operação!C11</f>
        <v>0</v>
      </c>
      <c r="D18" s="121">
        <f>C18/Quilometragem!$E$19</f>
        <v>0</v>
      </c>
      <c r="E18" s="18">
        <f t="shared" si="4"/>
        <v>0</v>
      </c>
      <c r="F18" s="18">
        <f t="shared" si="1"/>
        <v>0</v>
      </c>
      <c r="G18" s="40">
        <f t="shared" si="2"/>
        <v>0</v>
      </c>
    </row>
    <row r="19" spans="1:7" x14ac:dyDescent="0.25">
      <c r="A19" s="127" t="s">
        <v>130</v>
      </c>
      <c r="B19" s="126">
        <f>C19/'Rem dep frota'!$P$7</f>
        <v>493.55303300943405</v>
      </c>
      <c r="C19" s="126">
        <f>Operação!D11</f>
        <v>104633.24299800002</v>
      </c>
      <c r="D19" s="121">
        <f>C19/Quilometragem!$E$19</f>
        <v>8.9994669551200474E-2</v>
      </c>
      <c r="E19" s="18">
        <f t="shared" si="4"/>
        <v>3.1112213035356179E-2</v>
      </c>
      <c r="F19" s="18">
        <f t="shared" si="1"/>
        <v>1.9927155587629381E-2</v>
      </c>
      <c r="G19" s="40">
        <f t="shared" si="2"/>
        <v>1.9528612475876794E-2</v>
      </c>
    </row>
    <row r="20" spans="1:7" x14ac:dyDescent="0.25">
      <c r="A20" s="127" t="s">
        <v>72</v>
      </c>
      <c r="B20" s="126">
        <f>C20/'Rem dep frota'!$P$7</f>
        <v>585.04236858792456</v>
      </c>
      <c r="C20" s="126">
        <f>SUM(C17:C19)*Insumos!D42</f>
        <v>124028.98214064</v>
      </c>
      <c r="D20" s="121">
        <f>C20/Quilometragem!$E$19</f>
        <v>0.1066768738376196</v>
      </c>
      <c r="E20" s="18">
        <f t="shared" si="4"/>
        <v>3.6879446764272968E-2</v>
      </c>
      <c r="F20" s="18">
        <f t="shared" si="1"/>
        <v>2.3621028591640621E-2</v>
      </c>
      <c r="G20" s="40">
        <f t="shared" si="2"/>
        <v>2.3148608019807809E-2</v>
      </c>
    </row>
    <row r="21" spans="1:7" x14ac:dyDescent="0.25">
      <c r="A21" s="127" t="s">
        <v>71</v>
      </c>
      <c r="B21" s="126">
        <f>C21/'Rem dep frota'!$P$7</f>
        <v>877.56355288188672</v>
      </c>
      <c r="C21" s="126">
        <f>SUM(C17:C19)*Insumos!D43</f>
        <v>186043.47321095999</v>
      </c>
      <c r="D21" s="121">
        <f>C21/Quilometragem!$E$19</f>
        <v>0.16001531075642939</v>
      </c>
      <c r="E21" s="18">
        <f t="shared" si="4"/>
        <v>5.5319170146409441E-2</v>
      </c>
      <c r="F21" s="18">
        <f t="shared" si="1"/>
        <v>3.5431542887460928E-2</v>
      </c>
      <c r="G21" s="40">
        <f t="shared" si="2"/>
        <v>3.4722912029711714E-2</v>
      </c>
    </row>
    <row r="22" spans="1:7" x14ac:dyDescent="0.25">
      <c r="A22" s="127" t="s">
        <v>148</v>
      </c>
      <c r="B22" s="126">
        <f>C22/'Rem dep frota'!$P$7</f>
        <v>119.62404420990568</v>
      </c>
      <c r="C22" s="126">
        <f>Insumos!D44</f>
        <v>25360.297372500005</v>
      </c>
      <c r="D22" s="121">
        <f>C22/Quilometragem!$E$19</f>
        <v>2.1812299001398052E-2</v>
      </c>
      <c r="E22" s="18">
        <f t="shared" si="4"/>
        <v>7.540767655536444E-3</v>
      </c>
      <c r="F22" s="18">
        <f t="shared" si="1"/>
        <v>4.8298091219443106E-3</v>
      </c>
      <c r="G22" s="40">
        <f t="shared" si="2"/>
        <v>4.7332129395054245E-3</v>
      </c>
    </row>
    <row r="23" spans="1:7" x14ac:dyDescent="0.25">
      <c r="A23" s="119" t="s">
        <v>183</v>
      </c>
      <c r="B23" s="126">
        <f>SUM(B24:B28)</f>
        <v>1209.2806666666665</v>
      </c>
      <c r="C23" s="126">
        <f t="shared" ref="C23:D23" si="7">SUM(C24:C28)</f>
        <v>256367.50133333332</v>
      </c>
      <c r="D23" s="121">
        <f t="shared" si="7"/>
        <v>0.22050075009718734</v>
      </c>
      <c r="E23" s="18">
        <f t="shared" si="4"/>
        <v>7.6229696110796094E-2</v>
      </c>
      <c r="F23" s="18">
        <f t="shared" si="1"/>
        <v>4.882458901497265E-2</v>
      </c>
      <c r="G23" s="40">
        <f t="shared" si="2"/>
        <v>4.7848097234673204E-2</v>
      </c>
    </row>
    <row r="24" spans="1:7" x14ac:dyDescent="0.25">
      <c r="A24" s="128" t="s">
        <v>21</v>
      </c>
      <c r="B24" s="126">
        <f>Insumos!D53/12</f>
        <v>0</v>
      </c>
      <c r="C24" s="126">
        <f>B24*'Rem dep frota'!$P$7</f>
        <v>0</v>
      </c>
      <c r="D24" s="121">
        <f>C24/Quilometragem!$E$19</f>
        <v>0</v>
      </c>
      <c r="E24" s="18">
        <f t="shared" si="4"/>
        <v>0</v>
      </c>
      <c r="F24" s="18">
        <f t="shared" si="1"/>
        <v>0</v>
      </c>
      <c r="G24" s="40">
        <f t="shared" si="2"/>
        <v>0</v>
      </c>
    </row>
    <row r="25" spans="1:7" x14ac:dyDescent="0.25">
      <c r="A25" s="128" t="s">
        <v>20</v>
      </c>
      <c r="B25" s="126">
        <f>Insumos!D54/12</f>
        <v>33.040833333333332</v>
      </c>
      <c r="C25" s="126">
        <f>B25*'Rem dep frota'!$P$7</f>
        <v>7004.6566666666668</v>
      </c>
      <c r="D25" s="121">
        <f>C25/Quilometragem!$E$19</f>
        <v>6.0246795757666555E-3</v>
      </c>
      <c r="E25" s="18">
        <f t="shared" si="4"/>
        <v>2.0828024078067314E-3</v>
      </c>
      <c r="F25" s="18">
        <f t="shared" si="1"/>
        <v>1.3340204244387235E-3</v>
      </c>
      <c r="G25" s="40">
        <f t="shared" si="2"/>
        <v>1.307340015949949E-3</v>
      </c>
    </row>
    <row r="26" spans="1:7" x14ac:dyDescent="0.25">
      <c r="A26" s="128" t="s">
        <v>79</v>
      </c>
      <c r="B26" s="126">
        <f>Insumos!D55/12</f>
        <v>309.58999999999997</v>
      </c>
      <c r="C26" s="126">
        <f>B26*'Rem dep frota'!$P$7</f>
        <v>65633.08</v>
      </c>
      <c r="D26" s="121">
        <f>C26/Quilometragem!$E$19</f>
        <v>5.6450772020326327E-2</v>
      </c>
      <c r="E26" s="18">
        <f t="shared" si="4"/>
        <v>1.9515694139056801E-2</v>
      </c>
      <c r="F26" s="18">
        <f t="shared" si="1"/>
        <v>1.249966606578681E-2</v>
      </c>
      <c r="G26" s="40">
        <f t="shared" si="2"/>
        <v>1.2249672744471075E-2</v>
      </c>
    </row>
    <row r="27" spans="1:7" x14ac:dyDescent="0.25">
      <c r="A27" s="128" t="s">
        <v>25</v>
      </c>
      <c r="B27" s="126">
        <f>Insumos!D56/12</f>
        <v>5.8433333333333337</v>
      </c>
      <c r="C27" s="126">
        <f>B27*'Rem dep frota'!$P$7</f>
        <v>1238.7866666666669</v>
      </c>
      <c r="D27" s="121">
        <f>C27/Quilometragem!$E$19</f>
        <v>1.0654758804831343E-3</v>
      </c>
      <c r="E27" s="18">
        <f t="shared" si="4"/>
        <v>3.6834751150194962E-4</v>
      </c>
      <c r="F27" s="18">
        <f t="shared" si="1"/>
        <v>2.3592401362365582E-4</v>
      </c>
      <c r="G27" s="40">
        <f t="shared" si="2"/>
        <v>2.3120553335118272E-4</v>
      </c>
    </row>
    <row r="28" spans="1:7" x14ac:dyDescent="0.25">
      <c r="A28" s="232" t="s">
        <v>232</v>
      </c>
      <c r="B28" s="126">
        <f>Insumos!D57*Insumos!D22</f>
        <v>860.80649999999991</v>
      </c>
      <c r="C28" s="126">
        <f>B28*'Rem dep frota'!$P$7</f>
        <v>182490.97799999997</v>
      </c>
      <c r="D28" s="121">
        <f>C28/Quilometragem!$E$19</f>
        <v>0.15695982262061123</v>
      </c>
      <c r="E28" s="18">
        <f t="shared" si="4"/>
        <v>5.4262852052430623E-2</v>
      </c>
      <c r="F28" s="18">
        <f t="shared" si="1"/>
        <v>3.4754978511123462E-2</v>
      </c>
      <c r="G28" s="40">
        <f t="shared" si="2"/>
        <v>3.4059878940900998E-2</v>
      </c>
    </row>
    <row r="29" spans="1:7" x14ac:dyDescent="0.25">
      <c r="A29" s="129" t="s">
        <v>184</v>
      </c>
      <c r="B29" s="126">
        <f>C29/'Rem dep frota'!P7</f>
        <v>1311.935475628931</v>
      </c>
      <c r="C29" s="126">
        <f>Insumos!D58</f>
        <v>278130.32083333336</v>
      </c>
      <c r="D29" s="121">
        <f>C29/Quilometragem!$E$19</f>
        <v>0.23921887154012458</v>
      </c>
      <c r="E29" s="18">
        <f t="shared" si="4"/>
        <v>8.2700770285061606E-2</v>
      </c>
      <c r="F29" s="18">
        <f t="shared" si="1"/>
        <v>5.2969266918249387E-2</v>
      </c>
      <c r="G29" s="40">
        <f t="shared" si="2"/>
        <v>5.1909881579884402E-2</v>
      </c>
    </row>
    <row r="30" spans="1:7" ht="13" x14ac:dyDescent="0.3">
      <c r="A30" s="130" t="s">
        <v>190</v>
      </c>
      <c r="B30" s="131">
        <f>B9+B12+B16+B23+B29</f>
        <v>15863.642758184904</v>
      </c>
      <c r="C30" s="131">
        <f t="shared" ref="C30:D30" si="8">C9+C12+C16+C23+C29</f>
        <v>3363092.264735199</v>
      </c>
      <c r="D30" s="132">
        <f t="shared" si="8"/>
        <v>2.8925833546115727</v>
      </c>
      <c r="E30" s="133">
        <f t="shared" si="4"/>
        <v>1</v>
      </c>
      <c r="F30" s="133">
        <f t="shared" si="1"/>
        <v>0.64049302969814448</v>
      </c>
      <c r="G30" s="134">
        <f t="shared" si="2"/>
        <v>0.62768316910418154</v>
      </c>
    </row>
    <row r="31" spans="1:7" x14ac:dyDescent="0.25">
      <c r="A31" s="129" t="s">
        <v>191</v>
      </c>
      <c r="B31" s="126"/>
      <c r="C31" s="126"/>
      <c r="D31" s="121">
        <f>D8+D30</f>
        <v>4.5161824102516892</v>
      </c>
      <c r="E31" s="12"/>
      <c r="F31" s="18">
        <f t="shared" si="1"/>
        <v>1</v>
      </c>
      <c r="G31" s="40">
        <f t="shared" si="2"/>
        <v>0.98000000000000009</v>
      </c>
    </row>
    <row r="32" spans="1:7" ht="13" x14ac:dyDescent="0.3">
      <c r="A32" s="135" t="s">
        <v>192</v>
      </c>
      <c r="B32" s="136"/>
      <c r="C32" s="137"/>
      <c r="D32" s="138">
        <f>SUM(D33:D36)</f>
        <v>9.2166987964320185E-2</v>
      </c>
      <c r="E32" s="139"/>
      <c r="F32" s="139"/>
      <c r="G32" s="151">
        <f t="shared" si="2"/>
        <v>0.02</v>
      </c>
    </row>
    <row r="33" spans="1:7" x14ac:dyDescent="0.25">
      <c r="A33" s="127" t="s">
        <v>22</v>
      </c>
      <c r="B33" s="126"/>
      <c r="C33" s="120"/>
      <c r="D33" s="121">
        <f>($D$31/(1-SUM(Insumos!$D$60:$D$63)))*Insumos!D59</f>
        <v>0</v>
      </c>
      <c r="E33" s="12"/>
      <c r="F33" s="12"/>
      <c r="G33" s="40">
        <f t="shared" si="2"/>
        <v>0</v>
      </c>
    </row>
    <row r="34" spans="1:7" x14ac:dyDescent="0.25">
      <c r="A34" s="127" t="s">
        <v>23</v>
      </c>
      <c r="B34" s="120"/>
      <c r="C34" s="120"/>
      <c r="D34" s="121">
        <f>($D$31/(1-SUM(Insumos!$D$60:$D$63)))*Insumos!D60</f>
        <v>0</v>
      </c>
      <c r="E34" s="12"/>
      <c r="F34" s="12"/>
      <c r="G34" s="40">
        <f t="shared" si="2"/>
        <v>0</v>
      </c>
    </row>
    <row r="35" spans="1:7" x14ac:dyDescent="0.25">
      <c r="A35" s="127" t="s">
        <v>193</v>
      </c>
      <c r="B35" s="120"/>
      <c r="C35" s="120"/>
      <c r="D35" s="121">
        <f>($D$31/(1-SUM(Insumos!$D$60:$D$63)))*Insumos!D61</f>
        <v>0</v>
      </c>
      <c r="E35" s="12"/>
      <c r="F35" s="12"/>
      <c r="G35" s="50">
        <f t="shared" si="2"/>
        <v>0</v>
      </c>
    </row>
    <row r="36" spans="1:7" x14ac:dyDescent="0.25">
      <c r="A36" s="127" t="s">
        <v>205</v>
      </c>
      <c r="B36" s="120"/>
      <c r="C36" s="120"/>
      <c r="D36" s="121">
        <f>($D$31/(1-SUM(Insumos!$D$60:$D$63)))*Insumos!D62</f>
        <v>9.2166987964320185E-2</v>
      </c>
      <c r="E36" s="12"/>
      <c r="F36" s="12"/>
      <c r="G36" s="50">
        <f t="shared" ref="G36" si="9">D36/$D$37</f>
        <v>0.02</v>
      </c>
    </row>
    <row r="37" spans="1:7" ht="13" x14ac:dyDescent="0.3">
      <c r="A37" s="140" t="s">
        <v>194</v>
      </c>
      <c r="B37" s="141"/>
      <c r="C37" s="141"/>
      <c r="D37" s="142">
        <f>D31+D32</f>
        <v>4.6083493982160091</v>
      </c>
      <c r="E37" s="143"/>
      <c r="F37" s="143"/>
      <c r="G37" s="144">
        <f t="shared" si="2"/>
        <v>1</v>
      </c>
    </row>
    <row r="38" spans="1:7" x14ac:dyDescent="0.25">
      <c r="A38" s="118"/>
    </row>
    <row r="39" spans="1:7" x14ac:dyDescent="0.25">
      <c r="A39" s="118"/>
    </row>
    <row r="40" spans="1:7" x14ac:dyDescent="0.25">
      <c r="A40" s="118"/>
    </row>
    <row r="41" spans="1:7" x14ac:dyDescent="0.25">
      <c r="A41" s="118"/>
    </row>
    <row r="42" spans="1:7" x14ac:dyDescent="0.25">
      <c r="A42" s="118"/>
    </row>
    <row r="43" spans="1:7" x14ac:dyDescent="0.25">
      <c r="A43" s="118"/>
    </row>
    <row r="44" spans="1:7" x14ac:dyDescent="0.25">
      <c r="A44" s="118"/>
    </row>
    <row r="45" spans="1:7" x14ac:dyDescent="0.25">
      <c r="A45" s="118"/>
    </row>
    <row r="46" spans="1:7" x14ac:dyDescent="0.25">
      <c r="A46" s="118"/>
    </row>
    <row r="47" spans="1:7" x14ac:dyDescent="0.25">
      <c r="A47" s="118"/>
    </row>
    <row r="48" spans="1:7" x14ac:dyDescent="0.25">
      <c r="A48" s="118"/>
    </row>
    <row r="49" spans="1:1" x14ac:dyDescent="0.25">
      <c r="A49" s="118"/>
    </row>
    <row r="50" spans="1:1" x14ac:dyDescent="0.25">
      <c r="A50" s="118"/>
    </row>
    <row r="51" spans="1:1" x14ac:dyDescent="0.25">
      <c r="A51" s="118"/>
    </row>
    <row r="52" spans="1:1" x14ac:dyDescent="0.25">
      <c r="A52" s="118"/>
    </row>
    <row r="53" spans="1:1" x14ac:dyDescent="0.25">
      <c r="A53" s="118"/>
    </row>
    <row r="54" spans="1:1" x14ac:dyDescent="0.25">
      <c r="A54" s="118"/>
    </row>
    <row r="55" spans="1:1" x14ac:dyDescent="0.25">
      <c r="A55" s="118"/>
    </row>
    <row r="56" spans="1:1" x14ac:dyDescent="0.25">
      <c r="A56" s="118"/>
    </row>
    <row r="57" spans="1:1" x14ac:dyDescent="0.25">
      <c r="A57" s="118"/>
    </row>
    <row r="58" spans="1:1" x14ac:dyDescent="0.25">
      <c r="A58" s="118"/>
    </row>
    <row r="59" spans="1:1" x14ac:dyDescent="0.25">
      <c r="A59" s="118"/>
    </row>
    <row r="60" spans="1:1" x14ac:dyDescent="0.25">
      <c r="A60" s="118"/>
    </row>
    <row r="61" spans="1:1" x14ac:dyDescent="0.25">
      <c r="A61" s="118"/>
    </row>
    <row r="62" spans="1:1" x14ac:dyDescent="0.25">
      <c r="A62" s="118"/>
    </row>
    <row r="63" spans="1:1" x14ac:dyDescent="0.25">
      <c r="A63" s="118"/>
    </row>
    <row r="64" spans="1:1" x14ac:dyDescent="0.25">
      <c r="A64" s="118"/>
    </row>
    <row r="65" spans="1:1" x14ac:dyDescent="0.25">
      <c r="A65" s="118"/>
    </row>
    <row r="66" spans="1:1" x14ac:dyDescent="0.25">
      <c r="A66" s="118"/>
    </row>
    <row r="67" spans="1:1" x14ac:dyDescent="0.25">
      <c r="A67" s="118"/>
    </row>
    <row r="68" spans="1:1" x14ac:dyDescent="0.25">
      <c r="A68" s="118"/>
    </row>
    <row r="69" spans="1:1" x14ac:dyDescent="0.25">
      <c r="A69" s="118"/>
    </row>
    <row r="70" spans="1:1" x14ac:dyDescent="0.25">
      <c r="A70" s="118"/>
    </row>
    <row r="71" spans="1:1" x14ac:dyDescent="0.25">
      <c r="A71" s="118"/>
    </row>
    <row r="72" spans="1:1" x14ac:dyDescent="0.25">
      <c r="A72" s="118"/>
    </row>
    <row r="73" spans="1:1" x14ac:dyDescent="0.25">
      <c r="A73" s="118"/>
    </row>
    <row r="74" spans="1:1" x14ac:dyDescent="0.25">
      <c r="A74" s="118"/>
    </row>
    <row r="75" spans="1:1" x14ac:dyDescent="0.25">
      <c r="A75" s="118"/>
    </row>
    <row r="76" spans="1:1" x14ac:dyDescent="0.25">
      <c r="A76" s="118"/>
    </row>
    <row r="77" spans="1:1" x14ac:dyDescent="0.25">
      <c r="A77" s="118"/>
    </row>
    <row r="78" spans="1:1" x14ac:dyDescent="0.25">
      <c r="A78" s="118"/>
    </row>
    <row r="79" spans="1:1" x14ac:dyDescent="0.25">
      <c r="A79" s="118"/>
    </row>
    <row r="80" spans="1:1" x14ac:dyDescent="0.25">
      <c r="A80" s="118"/>
    </row>
    <row r="81" spans="1:1" x14ac:dyDescent="0.25">
      <c r="A81" s="118"/>
    </row>
    <row r="82" spans="1:1" x14ac:dyDescent="0.25">
      <c r="A82" s="118"/>
    </row>
    <row r="83" spans="1:1" x14ac:dyDescent="0.25">
      <c r="A83" s="118"/>
    </row>
    <row r="84" spans="1:1" x14ac:dyDescent="0.25">
      <c r="A84" s="118"/>
    </row>
    <row r="85" spans="1:1" x14ac:dyDescent="0.25">
      <c r="A85" s="118"/>
    </row>
    <row r="86" spans="1:1" x14ac:dyDescent="0.25">
      <c r="A86" s="118"/>
    </row>
    <row r="87" spans="1:1" x14ac:dyDescent="0.25">
      <c r="A87" s="118"/>
    </row>
    <row r="88" spans="1:1" x14ac:dyDescent="0.25">
      <c r="A88" s="118"/>
    </row>
    <row r="89" spans="1:1" x14ac:dyDescent="0.25">
      <c r="A89" s="118"/>
    </row>
    <row r="90" spans="1:1" x14ac:dyDescent="0.25">
      <c r="A90" s="118"/>
    </row>
    <row r="91" spans="1:1" x14ac:dyDescent="0.25">
      <c r="A91" s="118"/>
    </row>
    <row r="92" spans="1:1" x14ac:dyDescent="0.25">
      <c r="A92" s="118"/>
    </row>
    <row r="93" spans="1:1" x14ac:dyDescent="0.25">
      <c r="A93" s="118"/>
    </row>
    <row r="94" spans="1:1" x14ac:dyDescent="0.25">
      <c r="A94" s="118"/>
    </row>
    <row r="95" spans="1:1" x14ac:dyDescent="0.25">
      <c r="A95" s="118"/>
    </row>
    <row r="96" spans="1:1" x14ac:dyDescent="0.25">
      <c r="A96" s="118"/>
    </row>
    <row r="97" spans="1:1" x14ac:dyDescent="0.25">
      <c r="A97" s="118"/>
    </row>
    <row r="98" spans="1:1" x14ac:dyDescent="0.25">
      <c r="A98" s="118"/>
    </row>
    <row r="99" spans="1:1" x14ac:dyDescent="0.25">
      <c r="A99" s="118"/>
    </row>
    <row r="100" spans="1:1" x14ac:dyDescent="0.25">
      <c r="A100" s="118"/>
    </row>
    <row r="101" spans="1:1" x14ac:dyDescent="0.25">
      <c r="A101" s="118"/>
    </row>
    <row r="102" spans="1:1" x14ac:dyDescent="0.25">
      <c r="A102" s="118"/>
    </row>
    <row r="103" spans="1:1" x14ac:dyDescent="0.25">
      <c r="A103" s="118"/>
    </row>
    <row r="104" spans="1:1" x14ac:dyDescent="0.25">
      <c r="A104" s="118"/>
    </row>
    <row r="105" spans="1:1" x14ac:dyDescent="0.25">
      <c r="A105" s="118"/>
    </row>
    <row r="106" spans="1:1" x14ac:dyDescent="0.25">
      <c r="A106" s="118"/>
    </row>
    <row r="107" spans="1:1" x14ac:dyDescent="0.25">
      <c r="A107" s="118"/>
    </row>
    <row r="108" spans="1:1" x14ac:dyDescent="0.25">
      <c r="A108" s="118"/>
    </row>
    <row r="109" spans="1:1" x14ac:dyDescent="0.25">
      <c r="A109" s="118"/>
    </row>
    <row r="110" spans="1:1" x14ac:dyDescent="0.25">
      <c r="A110" s="118"/>
    </row>
    <row r="111" spans="1:1" x14ac:dyDescent="0.25">
      <c r="A111" s="118"/>
    </row>
    <row r="112" spans="1:1" x14ac:dyDescent="0.25">
      <c r="A112" s="118"/>
    </row>
    <row r="113" spans="1:1" x14ac:dyDescent="0.25">
      <c r="A113" s="118"/>
    </row>
    <row r="114" spans="1:1" x14ac:dyDescent="0.25">
      <c r="A114" s="118"/>
    </row>
  </sheetData>
  <mergeCells count="7">
    <mergeCell ref="I6:L7"/>
    <mergeCell ref="M3:N3"/>
    <mergeCell ref="M4:N5"/>
    <mergeCell ref="M6:N7"/>
    <mergeCell ref="A1:G1"/>
    <mergeCell ref="I3:L3"/>
    <mergeCell ref="I4:L5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  <ignoredErrors>
    <ignoredError sqref="D12 D16 D2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="90" zoomScaleNormal="90" workbookViewId="0">
      <selection activeCell="D6" sqref="D6"/>
    </sheetView>
  </sheetViews>
  <sheetFormatPr defaultColWidth="9.81640625" defaultRowHeight="14" x14ac:dyDescent="0.3"/>
  <cols>
    <col min="1" max="1" width="36.54296875" style="81" customWidth="1"/>
    <col min="2" max="2" width="21.1796875" style="80" bestFit="1" customWidth="1"/>
    <col min="3" max="4" width="13.1796875" style="82" customWidth="1"/>
    <col min="5" max="5" width="13.1796875" style="83" customWidth="1"/>
    <col min="6" max="8" width="13.1796875" style="82" customWidth="1"/>
    <col min="9" max="9" width="12.54296875" style="82" customWidth="1"/>
    <col min="10" max="10" width="14.54296875" style="82" customWidth="1"/>
    <col min="11" max="16384" width="9.81640625" style="80"/>
  </cols>
  <sheetData>
    <row r="1" spans="1:10" ht="15.5" x14ac:dyDescent="0.35">
      <c r="A1" s="197" t="s">
        <v>141</v>
      </c>
      <c r="B1" s="197"/>
      <c r="C1" s="197"/>
      <c r="D1" s="197"/>
      <c r="E1" s="197"/>
      <c r="F1" s="197"/>
      <c r="G1" s="197"/>
      <c r="H1" s="197"/>
      <c r="I1" s="197"/>
      <c r="J1" s="197"/>
    </row>
    <row r="3" spans="1:10" s="84" customFormat="1" ht="14.25" customHeight="1" x14ac:dyDescent="0.25">
      <c r="A3" s="198" t="s">
        <v>142</v>
      </c>
      <c r="B3" s="198" t="s">
        <v>143</v>
      </c>
      <c r="C3" s="198" t="s">
        <v>144</v>
      </c>
      <c r="D3" s="198" t="s">
        <v>229</v>
      </c>
      <c r="E3" s="201" t="s">
        <v>13</v>
      </c>
      <c r="F3" s="192" t="s">
        <v>145</v>
      </c>
      <c r="G3" s="192" t="s">
        <v>137</v>
      </c>
      <c r="H3" s="192" t="s">
        <v>146</v>
      </c>
      <c r="I3" s="192" t="s">
        <v>147</v>
      </c>
      <c r="J3" s="192" t="s">
        <v>230</v>
      </c>
    </row>
    <row r="4" spans="1:10" s="84" customFormat="1" x14ac:dyDescent="0.25">
      <c r="A4" s="199"/>
      <c r="B4" s="199"/>
      <c r="C4" s="199"/>
      <c r="D4" s="199"/>
      <c r="E4" s="202"/>
      <c r="F4" s="193"/>
      <c r="G4" s="193"/>
      <c r="H4" s="193"/>
      <c r="I4" s="193"/>
      <c r="J4" s="193"/>
    </row>
    <row r="5" spans="1:10" s="84" customFormat="1" x14ac:dyDescent="0.25">
      <c r="A5" s="200"/>
      <c r="B5" s="200"/>
      <c r="C5" s="200"/>
      <c r="D5" s="200"/>
      <c r="E5" s="203"/>
      <c r="F5" s="194"/>
      <c r="G5" s="194"/>
      <c r="H5" s="194"/>
      <c r="I5" s="194"/>
      <c r="J5" s="194"/>
    </row>
    <row r="6" spans="1:10" x14ac:dyDescent="0.3">
      <c r="A6" s="195" t="s">
        <v>148</v>
      </c>
      <c r="B6" s="85" t="s">
        <v>149</v>
      </c>
      <c r="C6" s="86">
        <v>10000.98</v>
      </c>
      <c r="D6" s="86">
        <f>C6*(1+Operação!$G$2)</f>
        <v>10751.0535</v>
      </c>
      <c r="E6" s="87">
        <v>0.11</v>
      </c>
      <c r="F6" s="88">
        <v>0</v>
      </c>
      <c r="G6" s="88">
        <v>0</v>
      </c>
      <c r="H6" s="88">
        <v>0</v>
      </c>
      <c r="I6" s="88">
        <f>C6*(1+E6)+F6+G6+H6</f>
        <v>11101.087800000001</v>
      </c>
      <c r="J6" s="86">
        <f>D6*(1+E6)+F6+G6+H6</f>
        <v>11933.669385000001</v>
      </c>
    </row>
    <row r="7" spans="1:10" x14ac:dyDescent="0.3">
      <c r="A7" s="195"/>
      <c r="B7" s="85" t="s">
        <v>214</v>
      </c>
      <c r="C7" s="86">
        <v>10000.6</v>
      </c>
      <c r="D7" s="86">
        <f>C7*(1+Operação!$G$2)</f>
        <v>10750.645</v>
      </c>
      <c r="E7" s="87">
        <v>0.11</v>
      </c>
      <c r="F7" s="88">
        <v>0</v>
      </c>
      <c r="G7" s="88">
        <v>0</v>
      </c>
      <c r="H7" s="88">
        <v>0</v>
      </c>
      <c r="I7" s="88">
        <f t="shared" ref="I7:I8" si="0">C7*(1+E7)+F7+G7+H7</f>
        <v>11100.666000000001</v>
      </c>
      <c r="J7" s="86">
        <f t="shared" ref="J7:J8" si="1">D7*(1+E7)+F7+G7+H7</f>
        <v>11933.215950000002</v>
      </c>
    </row>
    <row r="8" spans="1:10" x14ac:dyDescent="0.3">
      <c r="A8" s="196"/>
      <c r="B8" s="85" t="s">
        <v>215</v>
      </c>
      <c r="C8" s="86">
        <v>1251.55</v>
      </c>
      <c r="D8" s="86">
        <f>C8*(1+Operação!$G$2)</f>
        <v>1345.41625</v>
      </c>
      <c r="E8" s="87">
        <v>0.11</v>
      </c>
      <c r="F8" s="88">
        <v>0</v>
      </c>
      <c r="G8" s="88">
        <v>0</v>
      </c>
      <c r="H8" s="88">
        <v>0</v>
      </c>
      <c r="I8" s="88">
        <f t="shared" si="0"/>
        <v>1389.2205000000001</v>
      </c>
      <c r="J8" s="86">
        <f t="shared" si="1"/>
        <v>1493.4120375000002</v>
      </c>
    </row>
    <row r="9" spans="1:10" s="90" customFormat="1" ht="18" x14ac:dyDescent="0.4">
      <c r="A9" s="191" t="s">
        <v>216</v>
      </c>
      <c r="B9" s="191"/>
      <c r="C9" s="191"/>
      <c r="D9" s="191"/>
      <c r="E9" s="191"/>
      <c r="F9" s="191"/>
      <c r="G9" s="191"/>
      <c r="H9" s="191"/>
      <c r="I9" s="191"/>
      <c r="J9" s="89">
        <f>SUM(J6:J8)</f>
        <v>25360.297372500005</v>
      </c>
    </row>
    <row r="11" spans="1:10" x14ac:dyDescent="0.3">
      <c r="B11" s="158" t="s">
        <v>231</v>
      </c>
      <c r="C11" s="159"/>
      <c r="D11" s="159"/>
    </row>
  </sheetData>
  <mergeCells count="13">
    <mergeCell ref="A9:I9"/>
    <mergeCell ref="J3:J5"/>
    <mergeCell ref="A6:A8"/>
    <mergeCell ref="A1:J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rintOptions horizontalCentered="1"/>
  <pageMargins left="0" right="0" top="0" bottom="0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A42" sqref="A41:A42"/>
    </sheetView>
  </sheetViews>
  <sheetFormatPr defaultColWidth="9.1796875" defaultRowHeight="12.5" x14ac:dyDescent="0.25"/>
  <cols>
    <col min="1" max="1" width="50" style="92" customWidth="1"/>
    <col min="2" max="2" width="14.26953125" style="92" bestFit="1" customWidth="1"/>
    <col min="3" max="16384" width="9.1796875" style="92"/>
  </cols>
  <sheetData>
    <row r="1" spans="1:2" ht="13" thickTop="1" x14ac:dyDescent="0.25">
      <c r="A1" s="91" t="s">
        <v>150</v>
      </c>
      <c r="B1" s="91"/>
    </row>
    <row r="2" spans="1:2" x14ac:dyDescent="0.25">
      <c r="A2" s="93" t="s">
        <v>151</v>
      </c>
      <c r="B2" s="94" t="s">
        <v>73</v>
      </c>
    </row>
    <row r="3" spans="1:2" x14ac:dyDescent="0.25">
      <c r="A3" s="95" t="s">
        <v>152</v>
      </c>
      <c r="B3" s="96">
        <v>0</v>
      </c>
    </row>
    <row r="4" spans="1:2" x14ac:dyDescent="0.25">
      <c r="A4" s="97" t="s">
        <v>153</v>
      </c>
      <c r="B4" s="96">
        <v>3.6499999999999998E-2</v>
      </c>
    </row>
    <row r="5" spans="1:2" x14ac:dyDescent="0.25">
      <c r="A5" s="97" t="s">
        <v>154</v>
      </c>
      <c r="B5" s="96">
        <v>5.8000000000000003E-2</v>
      </c>
    </row>
    <row r="6" spans="1:2" x14ac:dyDescent="0.25">
      <c r="A6" s="98" t="s">
        <v>155</v>
      </c>
      <c r="B6" s="96">
        <v>0</v>
      </c>
    </row>
    <row r="7" spans="1:2" x14ac:dyDescent="0.25">
      <c r="A7" s="98" t="s">
        <v>156</v>
      </c>
      <c r="B7" s="96">
        <v>0</v>
      </c>
    </row>
    <row r="8" spans="1:2" x14ac:dyDescent="0.25">
      <c r="A8" s="98" t="s">
        <v>157</v>
      </c>
      <c r="B8" s="96">
        <v>0</v>
      </c>
    </row>
    <row r="9" spans="1:2" x14ac:dyDescent="0.25">
      <c r="A9" s="98" t="s">
        <v>158</v>
      </c>
      <c r="B9" s="96">
        <v>0</v>
      </c>
    </row>
    <row r="10" spans="1:2" x14ac:dyDescent="0.25">
      <c r="A10" s="98" t="s">
        <v>159</v>
      </c>
      <c r="B10" s="96">
        <v>0</v>
      </c>
    </row>
    <row r="11" spans="1:2" x14ac:dyDescent="0.25">
      <c r="A11" s="97" t="s">
        <v>160</v>
      </c>
      <c r="B11" s="96">
        <v>0.08</v>
      </c>
    </row>
    <row r="12" spans="1:2" x14ac:dyDescent="0.25">
      <c r="A12" s="99" t="s">
        <v>161</v>
      </c>
      <c r="B12" s="100">
        <f>SUM(B3:B11)</f>
        <v>0.17449999999999999</v>
      </c>
    </row>
    <row r="13" spans="1:2" x14ac:dyDescent="0.25">
      <c r="A13" s="93" t="s">
        <v>162</v>
      </c>
      <c r="B13" s="94"/>
    </row>
    <row r="14" spans="1:2" x14ac:dyDescent="0.25">
      <c r="A14" s="160" t="s">
        <v>223</v>
      </c>
      <c r="B14" s="96">
        <v>2.7799999999999998E-2</v>
      </c>
    </row>
    <row r="15" spans="1:2" x14ac:dyDescent="0.25">
      <c r="A15" s="160" t="s">
        <v>224</v>
      </c>
      <c r="B15" s="101">
        <v>1.1000000000000001E-3</v>
      </c>
    </row>
    <row r="16" spans="1:2" x14ac:dyDescent="0.25">
      <c r="A16" s="160" t="s">
        <v>227</v>
      </c>
      <c r="B16" s="96">
        <v>0.1057</v>
      </c>
    </row>
    <row r="17" spans="1:4" x14ac:dyDescent="0.25">
      <c r="A17" s="160" t="s">
        <v>225</v>
      </c>
      <c r="B17" s="101">
        <v>4.0000000000000002E-4</v>
      </c>
    </row>
    <row r="18" spans="1:4" x14ac:dyDescent="0.25">
      <c r="A18" s="160" t="s">
        <v>226</v>
      </c>
      <c r="B18" s="101">
        <v>2.9999999999999997E-4</v>
      </c>
    </row>
    <row r="19" spans="1:4" x14ac:dyDescent="0.25">
      <c r="A19" s="99" t="s">
        <v>163</v>
      </c>
      <c r="B19" s="100">
        <f>SUM(B14:B18)</f>
        <v>0.1353</v>
      </c>
    </row>
    <row r="20" spans="1:4" x14ac:dyDescent="0.25">
      <c r="A20" s="99" t="s">
        <v>164</v>
      </c>
      <c r="B20" s="100"/>
    </row>
    <row r="21" spans="1:4" x14ac:dyDescent="0.25">
      <c r="A21" s="161" t="s">
        <v>228</v>
      </c>
      <c r="B21" s="101">
        <v>7.5600000000000001E-2</v>
      </c>
    </row>
    <row r="22" spans="1:4" x14ac:dyDescent="0.25">
      <c r="A22" s="102" t="s">
        <v>165</v>
      </c>
      <c r="B22" s="100">
        <f>SUM(B21)</f>
        <v>7.5600000000000001E-2</v>
      </c>
    </row>
    <row r="23" spans="1:4" x14ac:dyDescent="0.25">
      <c r="A23" s="103" t="s">
        <v>166</v>
      </c>
      <c r="B23" s="104"/>
    </row>
    <row r="24" spans="1:4" x14ac:dyDescent="0.25">
      <c r="A24" s="95" t="s">
        <v>167</v>
      </c>
      <c r="B24" s="101">
        <f>B12*B19</f>
        <v>2.3609849999999998E-2</v>
      </c>
    </row>
    <row r="25" spans="1:4" x14ac:dyDescent="0.25">
      <c r="A25" s="105" t="s">
        <v>168</v>
      </c>
      <c r="B25" s="100">
        <f>SUM(B24)</f>
        <v>2.3609849999999998E-2</v>
      </c>
    </row>
    <row r="26" spans="1:4" x14ac:dyDescent="0.25">
      <c r="A26" s="103" t="s">
        <v>169</v>
      </c>
      <c r="B26" s="104"/>
    </row>
    <row r="27" spans="1:4" x14ac:dyDescent="0.25">
      <c r="A27" s="95" t="s">
        <v>170</v>
      </c>
      <c r="B27" s="101">
        <v>0</v>
      </c>
    </row>
    <row r="28" spans="1:4" x14ac:dyDescent="0.25">
      <c r="A28" s="95" t="s">
        <v>171</v>
      </c>
      <c r="B28" s="101">
        <v>0</v>
      </c>
    </row>
    <row r="29" spans="1:4" x14ac:dyDescent="0.25">
      <c r="A29" s="99" t="s">
        <v>172</v>
      </c>
      <c r="B29" s="100">
        <f>SUM(B26:B28)</f>
        <v>0</v>
      </c>
    </row>
    <row r="30" spans="1:4" ht="15" thickBot="1" x14ac:dyDescent="0.4">
      <c r="A30" s="106" t="s">
        <v>173</v>
      </c>
      <c r="B30" s="107">
        <f>ROUND((B12+B19+B22+B25+B29),4)</f>
        <v>0.40899999999999997</v>
      </c>
      <c r="C30" s="108"/>
      <c r="D30" s="109"/>
    </row>
    <row r="31" spans="1:4" ht="13" thickTop="1" x14ac:dyDescent="0.25"/>
    <row r="32" spans="1:4" x14ac:dyDescent="0.25">
      <c r="B32" s="110"/>
    </row>
    <row r="34" spans="2:2" x14ac:dyDescent="0.25">
      <c r="B34" s="111"/>
    </row>
    <row r="35" spans="2:2" x14ac:dyDescent="0.25">
      <c r="B35" s="112"/>
    </row>
    <row r="36" spans="2:2" x14ac:dyDescent="0.25">
      <c r="B36" s="112"/>
    </row>
    <row r="38" spans="2:2" x14ac:dyDescent="0.25">
      <c r="B38" s="111"/>
    </row>
    <row r="39" spans="2:2" x14ac:dyDescent="0.25">
      <c r="B39" s="111"/>
    </row>
    <row r="40" spans="2:2" x14ac:dyDescent="0.25">
      <c r="B40" s="111"/>
    </row>
    <row r="41" spans="2:2" x14ac:dyDescent="0.25">
      <c r="B41" s="111"/>
    </row>
    <row r="42" spans="2:2" x14ac:dyDescent="0.25">
      <c r="B42" s="111"/>
    </row>
    <row r="43" spans="2:2" x14ac:dyDescent="0.25">
      <c r="B43" s="111"/>
    </row>
    <row r="44" spans="2:2" x14ac:dyDescent="0.25">
      <c r="B44" s="111"/>
    </row>
    <row r="45" spans="2:2" x14ac:dyDescent="0.25">
      <c r="B45" s="11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2" sqref="E2"/>
    </sheetView>
  </sheetViews>
  <sheetFormatPr defaultColWidth="9.1796875" defaultRowHeight="12.5" x14ac:dyDescent="0.25"/>
  <cols>
    <col min="1" max="1" width="22.54296875" style="2" customWidth="1"/>
    <col min="2" max="5" width="14.26953125" style="2" customWidth="1"/>
    <col min="6" max="16384" width="9.1796875" style="2"/>
  </cols>
  <sheetData>
    <row r="1" spans="1:5" s="1" customFormat="1" ht="26" x14ac:dyDescent="0.25">
      <c r="A1" s="3" t="s">
        <v>1</v>
      </c>
      <c r="B1" s="3" t="s">
        <v>0</v>
      </c>
      <c r="C1" s="47" t="s">
        <v>24</v>
      </c>
      <c r="D1" s="47" t="s">
        <v>112</v>
      </c>
      <c r="E1" s="47" t="s">
        <v>113</v>
      </c>
    </row>
    <row r="2" spans="1:5" x14ac:dyDescent="0.25">
      <c r="A2" s="20" t="s">
        <v>29</v>
      </c>
      <c r="B2" s="19">
        <f>Insumos!D4</f>
        <v>0.315</v>
      </c>
      <c r="C2" s="8">
        <f>'Rem dep frota'!F25</f>
        <v>10</v>
      </c>
      <c r="D2" s="60">
        <f>Insumos!$D$2</f>
        <v>2.3505500000000001</v>
      </c>
      <c r="E2" s="60">
        <f>B2*D2</f>
        <v>0.74042325000000009</v>
      </c>
    </row>
    <row r="3" spans="1:5" x14ac:dyDescent="0.25">
      <c r="A3" s="20" t="s">
        <v>80</v>
      </c>
      <c r="B3" s="19">
        <f>Insumos!D5</f>
        <v>0.35</v>
      </c>
      <c r="C3" s="8">
        <f>'Rem dep frota'!F51</f>
        <v>12</v>
      </c>
      <c r="D3" s="60">
        <f>Insumos!$D$2</f>
        <v>2.3505500000000001</v>
      </c>
      <c r="E3" s="60">
        <f t="shared" ref="E3:E6" si="0">B3*D3</f>
        <v>0.82269250000000005</v>
      </c>
    </row>
    <row r="4" spans="1:5" x14ac:dyDescent="0.25">
      <c r="A4" s="20" t="s">
        <v>81</v>
      </c>
      <c r="B4" s="19">
        <f>Insumos!D6</f>
        <v>0.45</v>
      </c>
      <c r="C4" s="8">
        <f>'Rem dep frota'!F77</f>
        <v>99</v>
      </c>
      <c r="D4" s="60">
        <f>Insumos!$D$2</f>
        <v>2.3505500000000001</v>
      </c>
      <c r="E4" s="60">
        <f t="shared" si="0"/>
        <v>1.0577475000000001</v>
      </c>
    </row>
    <row r="5" spans="1:5" x14ac:dyDescent="0.25">
      <c r="A5" s="20" t="s">
        <v>82</v>
      </c>
      <c r="B5" s="19">
        <f>Insumos!D7</f>
        <v>0.495</v>
      </c>
      <c r="C5" s="8">
        <f>'Rem dep frota'!F103</f>
        <v>91</v>
      </c>
      <c r="D5" s="60">
        <f>Insumos!$D$2</f>
        <v>2.3505500000000001</v>
      </c>
      <c r="E5" s="60">
        <f t="shared" si="0"/>
        <v>1.16352225</v>
      </c>
    </row>
    <row r="6" spans="1:5" x14ac:dyDescent="0.25">
      <c r="A6" s="54" t="s">
        <v>92</v>
      </c>
      <c r="B6" s="52">
        <f>SUMPRODUCT(B2:B5,C2:C5)/C6</f>
        <v>0.45728773584905663</v>
      </c>
      <c r="C6" s="53">
        <f>SUM(C2:C5)</f>
        <v>212</v>
      </c>
      <c r="D6" s="61">
        <f>Insumos!$D$2</f>
        <v>2.3505500000000001</v>
      </c>
      <c r="E6" s="61">
        <f t="shared" si="0"/>
        <v>1.0748776875000001</v>
      </c>
    </row>
  </sheetData>
  <phoneticPr fontId="3" type="noConversion"/>
  <pageMargins left="0.78740157499999996" right="0.78740157499999996" top="0.984251969" bottom="0.984251969" header="0.49212598499999999" footer="0.49212598499999999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F30" sqref="F30"/>
    </sheetView>
  </sheetViews>
  <sheetFormatPr defaultColWidth="9.1796875" defaultRowHeight="12.5" x14ac:dyDescent="0.25"/>
  <cols>
    <col min="1" max="1" width="22.54296875" style="2" customWidth="1"/>
    <col min="2" max="2" width="14.26953125" style="2" customWidth="1"/>
    <col min="3" max="16384" width="9.1796875" style="2"/>
  </cols>
  <sheetData>
    <row r="1" spans="1:2" s="1" customFormat="1" ht="13" x14ac:dyDescent="0.25">
      <c r="A1" s="3" t="s">
        <v>1</v>
      </c>
      <c r="B1" s="3" t="s">
        <v>93</v>
      </c>
    </row>
    <row r="2" spans="1:2" x14ac:dyDescent="0.25">
      <c r="A2" s="4" t="s">
        <v>29</v>
      </c>
      <c r="B2" s="59">
        <f>Insumos!$D$3</f>
        <v>0.04</v>
      </c>
    </row>
    <row r="3" spans="1:2" x14ac:dyDescent="0.25">
      <c r="A3" s="4" t="s">
        <v>80</v>
      </c>
      <c r="B3" s="59">
        <f>Insumos!$D$3</f>
        <v>0.04</v>
      </c>
    </row>
    <row r="4" spans="1:2" x14ac:dyDescent="0.25">
      <c r="A4" s="4" t="s">
        <v>81</v>
      </c>
      <c r="B4" s="59">
        <f>Insumos!$D$3</f>
        <v>0.04</v>
      </c>
    </row>
    <row r="5" spans="1:2" x14ac:dyDescent="0.25">
      <c r="A5" s="4" t="s">
        <v>82</v>
      </c>
      <c r="B5" s="59">
        <f>Insumos!$D$3</f>
        <v>0.04</v>
      </c>
    </row>
  </sheetData>
  <pageMargins left="0.78740157499999996" right="0.78740157499999996" top="0.984251969" bottom="0.984251969" header="0.49212598499999999" footer="0.49212598499999999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J4" sqref="J4"/>
    </sheetView>
  </sheetViews>
  <sheetFormatPr defaultColWidth="9.1796875" defaultRowHeight="12.5" x14ac:dyDescent="0.25"/>
  <cols>
    <col min="1" max="1" width="13.81640625" style="2" customWidth="1"/>
    <col min="2" max="2" width="14.54296875" style="2" customWidth="1"/>
    <col min="3" max="4" width="12" style="7" customWidth="1"/>
    <col min="5" max="6" width="11.54296875" style="2" bestFit="1" customWidth="1"/>
    <col min="7" max="7" width="13" style="2" customWidth="1"/>
    <col min="8" max="8" width="10.453125" style="2" customWidth="1"/>
    <col min="9" max="9" width="12.1796875" style="2" customWidth="1"/>
    <col min="10" max="10" width="10.26953125" style="2" customWidth="1"/>
    <col min="11" max="11" width="9.54296875" style="2" customWidth="1"/>
    <col min="12" max="16384" width="9.1796875" style="2"/>
  </cols>
  <sheetData>
    <row r="1" spans="1:11" s="1" customFormat="1" ht="19.5" customHeight="1" x14ac:dyDescent="0.25">
      <c r="A1" s="204" t="s">
        <v>1</v>
      </c>
      <c r="B1" s="205" t="s">
        <v>27</v>
      </c>
      <c r="C1" s="205"/>
      <c r="D1" s="205"/>
      <c r="E1" s="205"/>
      <c r="F1" s="205"/>
      <c r="G1" s="205"/>
      <c r="H1" s="205"/>
      <c r="I1" s="205"/>
      <c r="J1" s="205"/>
      <c r="K1" s="206" t="s">
        <v>24</v>
      </c>
    </row>
    <row r="2" spans="1:11" ht="26" x14ac:dyDescent="0.25">
      <c r="A2" s="204"/>
      <c r="B2" s="9" t="s">
        <v>8</v>
      </c>
      <c r="C2" s="10" t="s">
        <v>34</v>
      </c>
      <c r="D2" s="10" t="s">
        <v>35</v>
      </c>
      <c r="E2" s="9" t="s">
        <v>36</v>
      </c>
      <c r="F2" s="9" t="s">
        <v>37</v>
      </c>
      <c r="G2" s="9" t="s">
        <v>38</v>
      </c>
      <c r="H2" s="9" t="s">
        <v>9</v>
      </c>
      <c r="I2" s="9" t="s">
        <v>10</v>
      </c>
      <c r="J2" s="9" t="s">
        <v>6</v>
      </c>
      <c r="K2" s="206"/>
    </row>
    <row r="3" spans="1:11" x14ac:dyDescent="0.25">
      <c r="A3" s="4" t="s">
        <v>29</v>
      </c>
      <c r="B3" s="4" t="s">
        <v>212</v>
      </c>
      <c r="C3" s="6">
        <f>Insumos!D9</f>
        <v>866.58</v>
      </c>
      <c r="D3" s="6">
        <f>Insumos!D10</f>
        <v>285</v>
      </c>
      <c r="E3" s="4">
        <v>6</v>
      </c>
      <c r="F3" s="4">
        <v>2</v>
      </c>
      <c r="G3" s="6">
        <f>C3*E3+D3*F3*E3</f>
        <v>8619.48</v>
      </c>
      <c r="H3" s="8">
        <v>85000</v>
      </c>
      <c r="I3" s="23">
        <f>1/H3</f>
        <v>1.1764705882352942E-5</v>
      </c>
      <c r="J3" s="5">
        <f>G3/H3</f>
        <v>0.10140564705882353</v>
      </c>
      <c r="K3" s="8">
        <f>'Rem dep frota'!F25</f>
        <v>10</v>
      </c>
    </row>
    <row r="4" spans="1:11" x14ac:dyDescent="0.25">
      <c r="A4" s="4" t="s">
        <v>80</v>
      </c>
      <c r="B4" s="4" t="s">
        <v>213</v>
      </c>
      <c r="C4" s="6">
        <f>Insumos!D11</f>
        <v>1514.01</v>
      </c>
      <c r="D4" s="6">
        <f>Insumos!D16</f>
        <v>480</v>
      </c>
      <c r="E4" s="4">
        <v>6</v>
      </c>
      <c r="F4" s="4">
        <v>2</v>
      </c>
      <c r="G4" s="6">
        <f t="shared" ref="G4:G6" si="0">C4*E4+D4*F4*E4</f>
        <v>14844.06</v>
      </c>
      <c r="H4" s="8">
        <v>85000</v>
      </c>
      <c r="I4" s="23">
        <f t="shared" ref="I4:I6" si="1">1/H4</f>
        <v>1.1764705882352942E-5</v>
      </c>
      <c r="J4" s="5">
        <f t="shared" ref="J4:J6" si="2">G4/H4</f>
        <v>0.17463599999999999</v>
      </c>
      <c r="K4" s="8">
        <f>'Rem dep frota'!F51</f>
        <v>12</v>
      </c>
    </row>
    <row r="5" spans="1:11" x14ac:dyDescent="0.25">
      <c r="A5" s="4" t="s">
        <v>81</v>
      </c>
      <c r="B5" s="4" t="s">
        <v>213</v>
      </c>
      <c r="C5" s="6">
        <f>Insumos!D11</f>
        <v>1514.01</v>
      </c>
      <c r="D5" s="6">
        <f>Insumos!D16</f>
        <v>480</v>
      </c>
      <c r="E5" s="4">
        <v>6</v>
      </c>
      <c r="F5" s="4">
        <v>2</v>
      </c>
      <c r="G5" s="6">
        <f t="shared" si="0"/>
        <v>14844.06</v>
      </c>
      <c r="H5" s="8">
        <v>125000</v>
      </c>
      <c r="I5" s="23">
        <f t="shared" ref="I5" si="3">1/H5</f>
        <v>7.9999999999999996E-6</v>
      </c>
      <c r="J5" s="5">
        <f t="shared" ref="J5" si="4">G5/H5</f>
        <v>0.11875247999999999</v>
      </c>
      <c r="K5" s="8">
        <f>'Rem dep frota'!F77</f>
        <v>99</v>
      </c>
    </row>
    <row r="6" spans="1:11" x14ac:dyDescent="0.25">
      <c r="A6" s="4" t="s">
        <v>82</v>
      </c>
      <c r="B6" s="4" t="s">
        <v>213</v>
      </c>
      <c r="C6" s="6">
        <f>Insumos!D11</f>
        <v>1514.01</v>
      </c>
      <c r="D6" s="6">
        <f>Insumos!D16</f>
        <v>480</v>
      </c>
      <c r="E6" s="4">
        <v>6</v>
      </c>
      <c r="F6" s="4">
        <v>2</v>
      </c>
      <c r="G6" s="6">
        <f t="shared" si="0"/>
        <v>14844.06</v>
      </c>
      <c r="H6" s="8">
        <v>125000</v>
      </c>
      <c r="I6" s="23">
        <f t="shared" si="1"/>
        <v>7.9999999999999996E-6</v>
      </c>
      <c r="J6" s="5">
        <f t="shared" si="2"/>
        <v>0.11875247999999999</v>
      </c>
      <c r="K6" s="8">
        <f>'Rem dep frota'!F103</f>
        <v>91</v>
      </c>
    </row>
    <row r="7" spans="1:11" x14ac:dyDescent="0.25">
      <c r="I7" s="62" t="s">
        <v>83</v>
      </c>
      <c r="J7" s="63">
        <f>SUMPRODUCT(J3:J6,K3:K6)/K7</f>
        <v>0.1210974512763596</v>
      </c>
      <c r="K7" s="53">
        <f>SUM(K3:K6)</f>
        <v>212</v>
      </c>
    </row>
  </sheetData>
  <mergeCells count="3">
    <mergeCell ref="A1:A2"/>
    <mergeCell ref="B1:J1"/>
    <mergeCell ref="K1:K2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2" sqref="D2"/>
    </sheetView>
  </sheetViews>
  <sheetFormatPr defaultColWidth="9.1796875" defaultRowHeight="12.5" x14ac:dyDescent="0.25"/>
  <cols>
    <col min="1" max="1" width="14.7265625" style="2" customWidth="1"/>
    <col min="2" max="2" width="15.26953125" style="2" customWidth="1"/>
    <col min="3" max="3" width="12.1796875" style="2" customWidth="1"/>
    <col min="4" max="4" width="9.26953125" style="2" customWidth="1"/>
    <col min="5" max="5" width="12.1796875" style="2" customWidth="1"/>
    <col min="6" max="6" width="13.81640625" style="2" bestFit="1" customWidth="1"/>
    <col min="7" max="7" width="8.81640625" style="2" customWidth="1"/>
    <col min="8" max="16384" width="9.1796875" style="2"/>
  </cols>
  <sheetData>
    <row r="1" spans="1:7" s="1" customFormat="1" ht="39" x14ac:dyDescent="0.25">
      <c r="A1" s="3" t="s">
        <v>39</v>
      </c>
      <c r="B1" s="3" t="s">
        <v>40</v>
      </c>
      <c r="C1" s="3" t="s">
        <v>43</v>
      </c>
      <c r="D1" s="3" t="s">
        <v>94</v>
      </c>
      <c r="E1" s="3" t="s">
        <v>11</v>
      </c>
      <c r="F1" s="3" t="s">
        <v>12</v>
      </c>
      <c r="G1" s="47" t="s">
        <v>24</v>
      </c>
    </row>
    <row r="2" spans="1:7" x14ac:dyDescent="0.25">
      <c r="A2" s="4" t="s">
        <v>29</v>
      </c>
      <c r="B2" s="6">
        <f>Insumos!D21</f>
        <v>312477</v>
      </c>
      <c r="C2" s="146">
        <f>Insumos!D17</f>
        <v>7.0000000000000007E-2</v>
      </c>
      <c r="D2" s="8">
        <f>Quilometragem!E19/(Combustível!C6-Insumos!D8)</f>
        <v>5784.3803482587055</v>
      </c>
      <c r="E2" s="11">
        <f>C2/D2/12</f>
        <v>1.0084629609616465E-6</v>
      </c>
      <c r="F2" s="65">
        <f>B2*E2</f>
        <v>0.31512148065241241</v>
      </c>
      <c r="G2" s="8">
        <f>'Rem dep frota'!F25</f>
        <v>10</v>
      </c>
    </row>
    <row r="3" spans="1:7" x14ac:dyDescent="0.25">
      <c r="A3" s="4" t="s">
        <v>80</v>
      </c>
      <c r="B3" s="6">
        <f>Insumos!D22</f>
        <v>344322.6</v>
      </c>
      <c r="C3" s="146">
        <f>Insumos!D18</f>
        <v>7.0000000000000007E-2</v>
      </c>
      <c r="D3" s="8">
        <f>D2</f>
        <v>5784.3803482587055</v>
      </c>
      <c r="E3" s="11">
        <f>C3/D3/12</f>
        <v>1.0084629609616465E-6</v>
      </c>
      <c r="F3" s="65">
        <f>B3*E3</f>
        <v>0.34723658872201263</v>
      </c>
      <c r="G3" s="8">
        <f>'Rem dep frota'!F51</f>
        <v>12</v>
      </c>
    </row>
    <row r="4" spans="1:7" x14ac:dyDescent="0.25">
      <c r="A4" s="4" t="s">
        <v>81</v>
      </c>
      <c r="B4" s="6">
        <f>Insumos!D23</f>
        <v>364740.14</v>
      </c>
      <c r="C4" s="146">
        <f>Insumos!D19</f>
        <v>7.0000000000000007E-2</v>
      </c>
      <c r="D4" s="8">
        <f>D2</f>
        <v>5784.3803482587055</v>
      </c>
      <c r="E4" s="11">
        <f>C4/D4/12</f>
        <v>1.0084629609616465E-6</v>
      </c>
      <c r="F4" s="65">
        <f>B4*E4</f>
        <v>0.36782692156596553</v>
      </c>
      <c r="G4" s="8">
        <f>'Rem dep frota'!F77</f>
        <v>99</v>
      </c>
    </row>
    <row r="5" spans="1:7" x14ac:dyDescent="0.25">
      <c r="A5" s="4" t="s">
        <v>82</v>
      </c>
      <c r="B5" s="6">
        <f>Insumos!D24</f>
        <v>411990.14</v>
      </c>
      <c r="C5" s="146">
        <f>Insumos!D20</f>
        <v>7.0000000000000007E-2</v>
      </c>
      <c r="D5" s="8">
        <f>D2</f>
        <v>5784.3803482587055</v>
      </c>
      <c r="E5" s="11">
        <f>C5/D5/12</f>
        <v>1.0084629609616465E-6</v>
      </c>
      <c r="F5" s="65">
        <f>B5*E5</f>
        <v>0.41547679647140329</v>
      </c>
      <c r="G5" s="8">
        <f>'Rem dep frota'!F103</f>
        <v>91</v>
      </c>
    </row>
    <row r="6" spans="1:7" ht="13" x14ac:dyDescent="0.25">
      <c r="E6" s="47" t="s">
        <v>83</v>
      </c>
      <c r="F6" s="66">
        <f>SUMPRODUCT(F2:F5,G2:G5)/G6</f>
        <v>0.38462880936375732</v>
      </c>
      <c r="G6" s="64">
        <f>SUM(G2:G5)</f>
        <v>212</v>
      </c>
    </row>
  </sheetData>
  <phoneticPr fontId="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3" sqref="A3:C17"/>
    </sheetView>
  </sheetViews>
  <sheetFormatPr defaultRowHeight="12.5" x14ac:dyDescent="0.25"/>
  <cols>
    <col min="1" max="1" width="12.1796875" style="55" customWidth="1"/>
    <col min="2" max="2" width="11.7265625" style="55" customWidth="1"/>
    <col min="3" max="5" width="16.1796875" customWidth="1"/>
  </cols>
  <sheetData>
    <row r="1" spans="1:5" ht="13" x14ac:dyDescent="0.25">
      <c r="A1" s="208" t="s">
        <v>98</v>
      </c>
      <c r="B1" s="208"/>
      <c r="C1" s="207" t="s">
        <v>101</v>
      </c>
      <c r="D1" s="207" t="s">
        <v>102</v>
      </c>
      <c r="E1" s="207" t="s">
        <v>103</v>
      </c>
    </row>
    <row r="2" spans="1:5" ht="13" x14ac:dyDescent="0.25">
      <c r="A2" s="116" t="s">
        <v>96</v>
      </c>
      <c r="B2" s="116" t="s">
        <v>97</v>
      </c>
      <c r="C2" s="207"/>
      <c r="D2" s="207"/>
      <c r="E2" s="207"/>
    </row>
    <row r="3" spans="1:5" x14ac:dyDescent="0.25">
      <c r="A3" s="177">
        <v>42339</v>
      </c>
      <c r="B3" s="178">
        <v>42358</v>
      </c>
      <c r="C3" s="179">
        <v>750592.39</v>
      </c>
      <c r="D3" s="57">
        <f>C3*Insumos!$D$26</f>
        <v>37529.619500000001</v>
      </c>
      <c r="E3" s="57">
        <f>C3+D3</f>
        <v>788122.00950000004</v>
      </c>
    </row>
    <row r="4" spans="1:5" x14ac:dyDescent="0.25">
      <c r="A4" s="177">
        <v>42359</v>
      </c>
      <c r="B4" s="178">
        <v>42369</v>
      </c>
      <c r="C4" s="179">
        <v>382880.81</v>
      </c>
      <c r="D4" s="57">
        <f>C4*Insumos!$D$26</f>
        <v>19144.040499999999</v>
      </c>
      <c r="E4" s="57">
        <f t="shared" ref="E4:E17" si="0">C4+D4</f>
        <v>402024.8505</v>
      </c>
    </row>
    <row r="5" spans="1:5" x14ac:dyDescent="0.25">
      <c r="A5" s="177">
        <v>42370</v>
      </c>
      <c r="B5" s="178">
        <v>42386</v>
      </c>
      <c r="C5" s="179">
        <v>568786.31999999995</v>
      </c>
      <c r="D5" s="57">
        <f>C5*Insumos!$D$26</f>
        <v>28439.315999999999</v>
      </c>
      <c r="E5" s="57">
        <f t="shared" si="0"/>
        <v>597225.63599999994</v>
      </c>
    </row>
    <row r="6" spans="1:5" x14ac:dyDescent="0.25">
      <c r="A6" s="177">
        <v>42387</v>
      </c>
      <c r="B6" s="178">
        <v>42400</v>
      </c>
      <c r="C6" s="179">
        <v>509383.14</v>
      </c>
      <c r="D6" s="57">
        <f>C6*Insumos!$D$26</f>
        <v>25469.157000000003</v>
      </c>
      <c r="E6" s="57">
        <f t="shared" si="0"/>
        <v>534852.29700000002</v>
      </c>
    </row>
    <row r="7" spans="1:5" x14ac:dyDescent="0.25">
      <c r="A7" s="177">
        <v>42401</v>
      </c>
      <c r="B7" s="178">
        <v>42429</v>
      </c>
      <c r="C7" s="179">
        <v>1057385.3600000001</v>
      </c>
      <c r="D7" s="57">
        <f>C7*Insumos!$D$26</f>
        <v>52869.268000000011</v>
      </c>
      <c r="E7" s="57">
        <f t="shared" si="0"/>
        <v>1110254.628</v>
      </c>
    </row>
    <row r="8" spans="1:5" x14ac:dyDescent="0.25">
      <c r="A8" s="177">
        <v>42430</v>
      </c>
      <c r="B8" s="178">
        <v>42460</v>
      </c>
      <c r="C8" s="179">
        <v>1152327.1200000001</v>
      </c>
      <c r="D8" s="57">
        <f>C8*Insumos!$D$26</f>
        <v>57616.356000000007</v>
      </c>
      <c r="E8" s="57">
        <f t="shared" si="0"/>
        <v>1209943.476</v>
      </c>
    </row>
    <row r="9" spans="1:5" x14ac:dyDescent="0.25">
      <c r="A9" s="177">
        <v>42461</v>
      </c>
      <c r="B9" s="178">
        <v>42477</v>
      </c>
      <c r="C9" s="179">
        <v>617594.56999999995</v>
      </c>
      <c r="D9" s="57">
        <f>C9*Insumos!$D$26</f>
        <v>30879.728499999997</v>
      </c>
      <c r="E9" s="57">
        <f t="shared" si="0"/>
        <v>648474.29849999992</v>
      </c>
    </row>
    <row r="10" spans="1:5" x14ac:dyDescent="0.25">
      <c r="A10" s="177">
        <v>42478</v>
      </c>
      <c r="B10" s="178">
        <v>42490</v>
      </c>
      <c r="C10" s="179">
        <v>483222.67</v>
      </c>
      <c r="D10" s="57">
        <f>C10*Insumos!$D$26</f>
        <v>24161.1335</v>
      </c>
      <c r="E10" s="57">
        <f t="shared" si="0"/>
        <v>507383.80349999998</v>
      </c>
    </row>
    <row r="11" spans="1:5" x14ac:dyDescent="0.25">
      <c r="A11" s="177">
        <v>42491</v>
      </c>
      <c r="B11" s="178">
        <v>42521</v>
      </c>
      <c r="C11" s="179">
        <v>1133168.58</v>
      </c>
      <c r="D11" s="57">
        <f>C11*Insumos!$D$26</f>
        <v>56658.429000000004</v>
      </c>
      <c r="E11" s="57">
        <f t="shared" si="0"/>
        <v>1189827.0090000001</v>
      </c>
    </row>
    <row r="12" spans="1:5" x14ac:dyDescent="0.25">
      <c r="A12" s="177">
        <v>42522</v>
      </c>
      <c r="B12" s="178">
        <v>42551</v>
      </c>
      <c r="C12" s="179">
        <v>1129456.22</v>
      </c>
      <c r="D12" s="57">
        <f>C12*Insumos!$D$26</f>
        <v>56472.811000000002</v>
      </c>
      <c r="E12" s="57">
        <f t="shared" si="0"/>
        <v>1185929.031</v>
      </c>
    </row>
    <row r="13" spans="1:5" x14ac:dyDescent="0.25">
      <c r="A13" s="177">
        <v>42552</v>
      </c>
      <c r="B13" s="178">
        <v>42582</v>
      </c>
      <c r="C13" s="179">
        <v>1065116.52</v>
      </c>
      <c r="D13" s="57">
        <f>C13*Insumos!$D$26</f>
        <v>53255.826000000001</v>
      </c>
      <c r="E13" s="57">
        <f t="shared" si="0"/>
        <v>1118372.3459999999</v>
      </c>
    </row>
    <row r="14" spans="1:5" x14ac:dyDescent="0.25">
      <c r="A14" s="177">
        <v>42583</v>
      </c>
      <c r="B14" s="178">
        <v>42613</v>
      </c>
      <c r="C14" s="179">
        <v>1165865.71</v>
      </c>
      <c r="D14" s="57">
        <f>C14*Insumos!$D$26</f>
        <v>58293.285499999998</v>
      </c>
      <c r="E14" s="57">
        <f t="shared" si="0"/>
        <v>1224158.9955</v>
      </c>
    </row>
    <row r="15" spans="1:5" x14ac:dyDescent="0.25">
      <c r="A15" s="177">
        <v>42614</v>
      </c>
      <c r="B15" s="178">
        <v>42643</v>
      </c>
      <c r="C15" s="179">
        <v>1104943.79</v>
      </c>
      <c r="D15" s="57">
        <f>C15*Insumos!$D$26</f>
        <v>55247.189500000008</v>
      </c>
      <c r="E15" s="57">
        <f t="shared" si="0"/>
        <v>1160190.9795000001</v>
      </c>
    </row>
    <row r="16" spans="1:5" x14ac:dyDescent="0.25">
      <c r="A16" s="177">
        <v>42644</v>
      </c>
      <c r="B16" s="178">
        <v>42674</v>
      </c>
      <c r="C16" s="179">
        <v>1086970.28</v>
      </c>
      <c r="D16" s="57">
        <f>C16*Insumos!$D$26</f>
        <v>54348.514000000003</v>
      </c>
      <c r="E16" s="57">
        <f t="shared" si="0"/>
        <v>1141318.794</v>
      </c>
    </row>
    <row r="17" spans="1:7" x14ac:dyDescent="0.25">
      <c r="A17" s="177">
        <v>42675</v>
      </c>
      <c r="B17" s="178">
        <v>42704</v>
      </c>
      <c r="C17" s="179">
        <v>1079854.52</v>
      </c>
      <c r="D17" s="57">
        <f>C17*Insumos!$D$26</f>
        <v>53992.726000000002</v>
      </c>
      <c r="E17" s="57">
        <f t="shared" si="0"/>
        <v>1133847.246</v>
      </c>
    </row>
    <row r="18" spans="1:7" ht="13" x14ac:dyDescent="0.25">
      <c r="A18" s="208" t="s">
        <v>95</v>
      </c>
      <c r="B18" s="208"/>
      <c r="C18" s="58">
        <f>SUM(C3:C17)</f>
        <v>13287547.999999998</v>
      </c>
      <c r="D18" s="58">
        <f>SUM(D3:D17)</f>
        <v>664377.4</v>
      </c>
      <c r="E18" s="58">
        <f>SUM(E3:E17)</f>
        <v>13951925.399999997</v>
      </c>
    </row>
    <row r="19" spans="1:7" ht="13" x14ac:dyDescent="0.25">
      <c r="A19" s="208" t="s">
        <v>186</v>
      </c>
      <c r="B19" s="208"/>
      <c r="C19" s="58">
        <f>C18/12</f>
        <v>1107295.6666666665</v>
      </c>
      <c r="D19" s="58">
        <f>D18/12</f>
        <v>55364.783333333333</v>
      </c>
      <c r="E19" s="58">
        <f>E18/12</f>
        <v>1162660.4499999997</v>
      </c>
    </row>
    <row r="20" spans="1:7" x14ac:dyDescent="0.25">
      <c r="C20" s="56"/>
      <c r="D20" s="56"/>
      <c r="E20" s="56"/>
    </row>
    <row r="22" spans="1:7" ht="13" x14ac:dyDescent="0.3">
      <c r="A22" s="180"/>
      <c r="B22" s="180"/>
      <c r="C22" s="181"/>
      <c r="D22" s="181"/>
      <c r="E22" s="181"/>
      <c r="F22" s="181"/>
      <c r="G22" s="181"/>
    </row>
  </sheetData>
  <mergeCells count="6">
    <mergeCell ref="E1:E2"/>
    <mergeCell ref="A18:B18"/>
    <mergeCell ref="A19:B19"/>
    <mergeCell ref="A1:B1"/>
    <mergeCell ref="C1:C2"/>
    <mergeCell ref="D1:D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5" sqref="B5"/>
    </sheetView>
  </sheetViews>
  <sheetFormatPr defaultColWidth="9.1796875" defaultRowHeight="12.5" x14ac:dyDescent="0.25"/>
  <cols>
    <col min="1" max="1" width="22.54296875" style="2" customWidth="1"/>
    <col min="2" max="3" width="14.26953125" style="2" customWidth="1"/>
    <col min="4" max="16384" width="9.1796875" style="2"/>
  </cols>
  <sheetData>
    <row r="1" spans="1:3" s="1" customFormat="1" ht="13" x14ac:dyDescent="0.25">
      <c r="A1" s="47" t="s">
        <v>1</v>
      </c>
      <c r="B1" s="47" t="s">
        <v>127</v>
      </c>
      <c r="C1" s="47" t="s">
        <v>24</v>
      </c>
    </row>
    <row r="2" spans="1:3" x14ac:dyDescent="0.25">
      <c r="A2" s="20" t="s">
        <v>29</v>
      </c>
      <c r="B2" s="6">
        <f>Insumos!D21</f>
        <v>312477</v>
      </c>
      <c r="C2" s="8">
        <f>'Rem dep frota'!F25</f>
        <v>10</v>
      </c>
    </row>
    <row r="3" spans="1:3" x14ac:dyDescent="0.25">
      <c r="A3" s="20" t="s">
        <v>80</v>
      </c>
      <c r="B3" s="6">
        <f>Insumos!D22</f>
        <v>344322.6</v>
      </c>
      <c r="C3" s="8">
        <f>'Rem dep frota'!F51</f>
        <v>12</v>
      </c>
    </row>
    <row r="4" spans="1:3" x14ac:dyDescent="0.25">
      <c r="A4" s="20" t="s">
        <v>81</v>
      </c>
      <c r="B4" s="6">
        <f>Insumos!D23</f>
        <v>364740.14</v>
      </c>
      <c r="C4" s="8">
        <f>'Rem dep frota'!F77</f>
        <v>99</v>
      </c>
    </row>
    <row r="5" spans="1:3" x14ac:dyDescent="0.25">
      <c r="A5" s="20" t="s">
        <v>82</v>
      </c>
      <c r="B5" s="6">
        <f>Insumos!D24</f>
        <v>411990.14</v>
      </c>
      <c r="C5" s="8">
        <f>'Rem dep frota'!F103</f>
        <v>91</v>
      </c>
    </row>
    <row r="6" spans="1:3" ht="13" x14ac:dyDescent="0.25">
      <c r="A6" s="69" t="s">
        <v>128</v>
      </c>
      <c r="B6" s="70">
        <f>SUMPRODUCT(B2:B5,C2:C5)/C6</f>
        <v>381401.02735849062</v>
      </c>
      <c r="C6" s="71">
        <f>SUM(C2:C5)</f>
        <v>212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</vt:i4>
      </vt:variant>
    </vt:vector>
  </HeadingPairs>
  <TitlesOfParts>
    <vt:vector size="17" baseType="lpstr">
      <vt:lpstr>Operação</vt:lpstr>
      <vt:lpstr>Diretoria</vt:lpstr>
      <vt:lpstr>Encargos</vt:lpstr>
      <vt:lpstr>Combustível</vt:lpstr>
      <vt:lpstr>Lubrificante</vt:lpstr>
      <vt:lpstr>Rodagem</vt:lpstr>
      <vt:lpstr>Peças e acessórios</vt:lpstr>
      <vt:lpstr>Quilometragem</vt:lpstr>
      <vt:lpstr>Preço médio de veículo</vt:lpstr>
      <vt:lpstr>Rem dep frota</vt:lpstr>
      <vt:lpstr>Bilhetagem</vt:lpstr>
      <vt:lpstr>Demanda</vt:lpstr>
      <vt:lpstr>Insumos</vt:lpstr>
      <vt:lpstr>Idade Frota</vt:lpstr>
      <vt:lpstr>Planilha de custos</vt:lpstr>
      <vt:lpstr>Plan1</vt:lpstr>
      <vt:lpstr>Diretoria!Area_de_impressao</vt:lpstr>
    </vt:vector>
  </TitlesOfParts>
  <Company>tectran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Rone Von</cp:lastModifiedBy>
  <cp:lastPrinted>2016-12-10T16:05:11Z</cp:lastPrinted>
  <dcterms:created xsi:type="dcterms:W3CDTF">2006-06-19T16:48:21Z</dcterms:created>
  <dcterms:modified xsi:type="dcterms:W3CDTF">2016-12-10T16:05:35Z</dcterms:modified>
</cp:coreProperties>
</file>